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200073\Downloads\"/>
    </mc:Choice>
  </mc:AlternateContent>
  <bookViews>
    <workbookView xWindow="0" yWindow="0" windowWidth="19200" windowHeight="6900"/>
  </bookViews>
  <sheets>
    <sheet name="Gennemsnitmodellen" sheetId="1" r:id="rId1"/>
    <sheet name="Gennemsnitsmodellen m basisa." sheetId="2" r:id="rId2"/>
    <sheet name="Model m forældreforløb" sheetId="3" r:id="rId3"/>
    <sheet name="Kommune A" sheetId="4" r:id="rId4"/>
    <sheet name="Kommune B" sheetId="5" r:id="rId5"/>
    <sheet name="Følsomhedsanalyse 1" sheetId="6" r:id="rId6"/>
    <sheet name="Følsomhedsanalyse 2" sheetId="7" r:id="rId7"/>
    <sheet name="Følsomhedsanalyse 3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8" l="1"/>
  <c r="N15" i="8" s="1"/>
  <c r="L14" i="8"/>
  <c r="N14" i="8" s="1"/>
  <c r="L13" i="8"/>
  <c r="N13" i="8" s="1"/>
  <c r="L12" i="8"/>
  <c r="N12" i="8" s="1"/>
  <c r="L11" i="8"/>
  <c r="N11" i="8" s="1"/>
  <c r="L10" i="8"/>
  <c r="N10" i="8" s="1"/>
  <c r="L9" i="8"/>
  <c r="N9" i="8" s="1"/>
  <c r="L8" i="8"/>
  <c r="N8" i="8" s="1"/>
  <c r="N25" i="8" s="1"/>
  <c r="L7" i="8"/>
  <c r="N7" i="8" s="1"/>
  <c r="L6" i="8"/>
  <c r="N6" i="8" s="1"/>
  <c r="L5" i="8"/>
  <c r="N5" i="8" s="1"/>
  <c r="M4" i="8"/>
  <c r="M16" i="8" s="1"/>
  <c r="L4" i="8"/>
  <c r="N4" i="8" s="1"/>
  <c r="N3" i="8"/>
  <c r="L3" i="8"/>
  <c r="N2" i="8"/>
  <c r="L2" i="8"/>
  <c r="O28" i="7"/>
  <c r="O27" i="7"/>
  <c r="O26" i="7"/>
  <c r="O25" i="7"/>
  <c r="O29" i="7" s="1"/>
  <c r="L15" i="7"/>
  <c r="N15" i="7" s="1"/>
  <c r="L14" i="7"/>
  <c r="N14" i="7" s="1"/>
  <c r="N13" i="7"/>
  <c r="L13" i="7"/>
  <c r="L12" i="7"/>
  <c r="N12" i="7" s="1"/>
  <c r="P11" i="7"/>
  <c r="L11" i="7"/>
  <c r="N11" i="7" s="1"/>
  <c r="L10" i="7"/>
  <c r="N10" i="7" s="1"/>
  <c r="L9" i="7"/>
  <c r="N9" i="7" s="1"/>
  <c r="L8" i="7"/>
  <c r="N8" i="7" s="1"/>
  <c r="L7" i="7"/>
  <c r="N7" i="7" s="1"/>
  <c r="P6" i="7"/>
  <c r="N6" i="7"/>
  <c r="L6" i="7"/>
  <c r="L5" i="7"/>
  <c r="N5" i="7" s="1"/>
  <c r="M4" i="7"/>
  <c r="M16" i="7" s="1"/>
  <c r="L4" i="7"/>
  <c r="N4" i="7" s="1"/>
  <c r="L3" i="7"/>
  <c r="N3" i="7" s="1"/>
  <c r="P2" i="7"/>
  <c r="L2" i="7"/>
  <c r="N2" i="7" s="1"/>
  <c r="L15" i="6"/>
  <c r="N15" i="6" s="1"/>
  <c r="L14" i="6"/>
  <c r="N14" i="6" s="1"/>
  <c r="N13" i="6"/>
  <c r="L13" i="6"/>
  <c r="L12" i="6"/>
  <c r="N12" i="6" s="1"/>
  <c r="L11" i="6"/>
  <c r="N11" i="6" s="1"/>
  <c r="L10" i="6"/>
  <c r="N10" i="6" s="1"/>
  <c r="N9" i="6"/>
  <c r="L9" i="6"/>
  <c r="L8" i="6"/>
  <c r="N8" i="6" s="1"/>
  <c r="L7" i="6"/>
  <c r="N7" i="6" s="1"/>
  <c r="L6" i="6"/>
  <c r="N6" i="6" s="1"/>
  <c r="N5" i="6"/>
  <c r="L5" i="6"/>
  <c r="M4" i="6"/>
  <c r="N4" i="6" s="1"/>
  <c r="N24" i="6" s="1"/>
  <c r="L4" i="6"/>
  <c r="N3" i="6"/>
  <c r="L3" i="6"/>
  <c r="L2" i="6"/>
  <c r="N2" i="6" s="1"/>
  <c r="M16" i="5"/>
  <c r="L15" i="5"/>
  <c r="N15" i="5" s="1"/>
  <c r="L14" i="5"/>
  <c r="N14" i="5" s="1"/>
  <c r="L13" i="5"/>
  <c r="N13" i="5" s="1"/>
  <c r="L12" i="5"/>
  <c r="N12" i="5" s="1"/>
  <c r="L11" i="5"/>
  <c r="N11" i="5" s="1"/>
  <c r="L10" i="5"/>
  <c r="N10" i="5" s="1"/>
  <c r="L9" i="5"/>
  <c r="N9" i="5" s="1"/>
  <c r="L8" i="5"/>
  <c r="N8" i="5" s="1"/>
  <c r="L7" i="5"/>
  <c r="N7" i="5" s="1"/>
  <c r="L6" i="5"/>
  <c r="N6" i="5" s="1"/>
  <c r="L5" i="5"/>
  <c r="N5" i="5" s="1"/>
  <c r="L4" i="5"/>
  <c r="N4" i="5" s="1"/>
  <c r="N24" i="5" s="1"/>
  <c r="L3" i="5"/>
  <c r="N3" i="5" s="1"/>
  <c r="L2" i="5"/>
  <c r="N2" i="5" s="1"/>
  <c r="M16" i="4"/>
  <c r="L15" i="4"/>
  <c r="N15" i="4" s="1"/>
  <c r="L14" i="4"/>
  <c r="N14" i="4" s="1"/>
  <c r="L13" i="4"/>
  <c r="N13" i="4" s="1"/>
  <c r="L12" i="4"/>
  <c r="N12" i="4" s="1"/>
  <c r="L11" i="4"/>
  <c r="N11" i="4" s="1"/>
  <c r="L10" i="4"/>
  <c r="N10" i="4" s="1"/>
  <c r="L9" i="4"/>
  <c r="N9" i="4" s="1"/>
  <c r="L8" i="4"/>
  <c r="N8" i="4" s="1"/>
  <c r="L7" i="4"/>
  <c r="N7" i="4" s="1"/>
  <c r="L6" i="4"/>
  <c r="N6" i="4" s="1"/>
  <c r="L5" i="4"/>
  <c r="N5" i="4" s="1"/>
  <c r="L4" i="4"/>
  <c r="N4" i="4" s="1"/>
  <c r="N24" i="4" s="1"/>
  <c r="L3" i="4"/>
  <c r="N3" i="4" s="1"/>
  <c r="L2" i="4"/>
  <c r="N2" i="4" s="1"/>
  <c r="P18" i="2"/>
  <c r="L15" i="2"/>
  <c r="N15" i="2" s="1"/>
  <c r="L14" i="2"/>
  <c r="N14" i="2" s="1"/>
  <c r="L13" i="2"/>
  <c r="N13" i="2" s="1"/>
  <c r="L12" i="2"/>
  <c r="N12" i="2" s="1"/>
  <c r="L11" i="2"/>
  <c r="N11" i="2" s="1"/>
  <c r="L10" i="2"/>
  <c r="N10" i="2" s="1"/>
  <c r="L9" i="2"/>
  <c r="N9" i="2" s="1"/>
  <c r="L8" i="2"/>
  <c r="N8" i="2" s="1"/>
  <c r="N25" i="2" s="1"/>
  <c r="L7" i="2"/>
  <c r="N7" i="2" s="1"/>
  <c r="L6" i="2"/>
  <c r="N6" i="2" s="1"/>
  <c r="L5" i="2"/>
  <c r="N5" i="2" s="1"/>
  <c r="M4" i="2"/>
  <c r="M16" i="2" s="1"/>
  <c r="L4" i="2"/>
  <c r="N4" i="2" s="1"/>
  <c r="N24" i="2" s="1"/>
  <c r="L3" i="2"/>
  <c r="N3" i="2" s="1"/>
  <c r="L2" i="2"/>
  <c r="N2" i="2" s="1"/>
  <c r="M16" i="3"/>
  <c r="L15" i="3"/>
  <c r="N15" i="3" s="1"/>
  <c r="L14" i="3"/>
  <c r="N14" i="3" s="1"/>
  <c r="L13" i="3"/>
  <c r="N13" i="3" s="1"/>
  <c r="L12" i="3"/>
  <c r="N12" i="3" s="1"/>
  <c r="L11" i="3"/>
  <c r="N11" i="3" s="1"/>
  <c r="L10" i="3"/>
  <c r="N10" i="3" s="1"/>
  <c r="L9" i="3"/>
  <c r="N9" i="3" s="1"/>
  <c r="L8" i="3"/>
  <c r="N8" i="3" s="1"/>
  <c r="L7" i="3"/>
  <c r="N7" i="3" s="1"/>
  <c r="L6" i="3"/>
  <c r="N6" i="3" s="1"/>
  <c r="L5" i="3"/>
  <c r="N5" i="3" s="1"/>
  <c r="L4" i="3"/>
  <c r="N4" i="3" s="1"/>
  <c r="N24" i="3" s="1"/>
  <c r="L3" i="3"/>
  <c r="N3" i="3" s="1"/>
  <c r="L2" i="3"/>
  <c r="N2" i="3" s="1"/>
  <c r="N23" i="8" l="1"/>
  <c r="N27" i="8" s="1"/>
  <c r="N24" i="8"/>
  <c r="N26" i="8"/>
  <c r="N18" i="8"/>
  <c r="N19" i="8" s="1"/>
  <c r="N18" i="7"/>
  <c r="N19" i="7" s="1"/>
  <c r="N23" i="6"/>
  <c r="N27" i="6" s="1"/>
  <c r="N18" i="6"/>
  <c r="N19" i="6" s="1"/>
  <c r="N26" i="6"/>
  <c r="N25" i="6"/>
  <c r="M16" i="6"/>
  <c r="N26" i="5"/>
  <c r="N23" i="5"/>
  <c r="N27" i="5" s="1"/>
  <c r="N18" i="5"/>
  <c r="N19" i="5" s="1"/>
  <c r="N25" i="5"/>
  <c r="N26" i="4"/>
  <c r="N23" i="4"/>
  <c r="N18" i="4"/>
  <c r="N19" i="4" s="1"/>
  <c r="N25" i="4"/>
  <c r="N18" i="2"/>
  <c r="N19" i="2" s="1"/>
  <c r="P19" i="2" s="1"/>
  <c r="N23" i="2"/>
  <c r="N26" i="2"/>
  <c r="N26" i="3"/>
  <c r="N23" i="3"/>
  <c r="N18" i="3"/>
  <c r="N19" i="3" s="1"/>
  <c r="P19" i="3" s="1"/>
  <c r="N25" i="3"/>
  <c r="N27" i="4" l="1"/>
  <c r="N27" i="2"/>
  <c r="N27" i="3"/>
  <c r="O19" i="1"/>
  <c r="O27" i="1" l="1"/>
  <c r="O26" i="1"/>
  <c r="O25" i="1"/>
  <c r="O24" i="1"/>
  <c r="O23" i="1"/>
  <c r="O18" i="1"/>
  <c r="O2" i="1"/>
  <c r="Q277" i="1" l="1"/>
  <c r="Q272" i="1"/>
  <c r="Q268" i="1"/>
  <c r="N16" i="1"/>
  <c r="N4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M2" i="1"/>
  <c r="M4" i="1"/>
  <c r="M5" i="1"/>
  <c r="M6" i="1"/>
  <c r="M7" i="1"/>
  <c r="M8" i="1"/>
  <c r="M9" i="1"/>
  <c r="M10" i="1"/>
  <c r="M11" i="1"/>
  <c r="M12" i="1"/>
  <c r="M13" i="1"/>
  <c r="M14" i="1"/>
  <c r="M15" i="1"/>
  <c r="M3" i="1"/>
</calcChain>
</file>

<file path=xl/sharedStrings.xml><?xml version="1.0" encoding="utf-8"?>
<sst xmlns="http://schemas.openxmlformats.org/spreadsheetml/2006/main" count="260" uniqueCount="76">
  <si>
    <t>SAMLET FOR ALLE KOMMUNER</t>
  </si>
  <si>
    <t>Individuelle støttepersoner (antal timer)</t>
  </si>
  <si>
    <t>Gruppevejledere (antal timer)</t>
  </si>
  <si>
    <t>Visitatorer / sagsbehandlere  (antal timer)</t>
  </si>
  <si>
    <t>Projektleder (antal timer)</t>
  </si>
  <si>
    <t>Ledere (antal timer)</t>
  </si>
  <si>
    <t>I alt</t>
  </si>
  <si>
    <t>Individuel støtte</t>
  </si>
  <si>
    <t>Gruppeforløb</t>
  </si>
  <si>
    <t>Møder (opfølgning + øvrige møder)</t>
  </si>
  <si>
    <t>Administration, visitation, andet</t>
  </si>
  <si>
    <t>Gennemsnit over kommuner</t>
  </si>
  <si>
    <t>Individuel støtte, PL</t>
  </si>
  <si>
    <t>Gruppeforløb, gruppefacillitatorer</t>
  </si>
  <si>
    <t>Gruppeforløb, PL</t>
  </si>
  <si>
    <t>Møder, støttepersoner</t>
  </si>
  <si>
    <t>Møder, gruppefacillitatorer</t>
  </si>
  <si>
    <t>Møder, visitatorer</t>
  </si>
  <si>
    <t>Møder, PL</t>
  </si>
  <si>
    <t>Møder, ledere</t>
  </si>
  <si>
    <t>Administration (støttepersoner)</t>
  </si>
  <si>
    <t>Administration (gruppefacillitatorer)</t>
  </si>
  <si>
    <t>Administration (visitatorer)</t>
  </si>
  <si>
    <t>Administration (PL)</t>
  </si>
  <si>
    <t>Administrattion (ledere)</t>
  </si>
  <si>
    <t>inkl. 20 overhead</t>
  </si>
  <si>
    <t>kr/time</t>
  </si>
  <si>
    <t>*</t>
  </si>
  <si>
    <t>Omkostning</t>
  </si>
  <si>
    <t>Individuel støtte, støtteperson</t>
  </si>
  <si>
    <t>Timer</t>
  </si>
  <si>
    <t>SUM</t>
  </si>
  <si>
    <t>Sum pr deltager</t>
  </si>
  <si>
    <t>4 timer flyttet til grup fac.</t>
  </si>
  <si>
    <t>Driftsmodellen</t>
  </si>
  <si>
    <t>Maksimumsmodellen</t>
  </si>
  <si>
    <t>Kommune A</t>
  </si>
  <si>
    <t>Kommune B</t>
  </si>
  <si>
    <t>Gennemsnitsmodel med mindre PL-driftsudgifter</t>
  </si>
  <si>
    <t>Gennemsnitsmodel med flere deltagere (10)</t>
  </si>
  <si>
    <t>pr. deltager</t>
  </si>
  <si>
    <t>Kun ændret her til 50</t>
  </si>
  <si>
    <t>Gennemsnitsmodel med flere deltagere (10) + mindre PL-udgift</t>
  </si>
  <si>
    <t>50 timer i stedet for 165 timer</t>
  </si>
  <si>
    <t>Beregnet på 5 deltagere</t>
  </si>
  <si>
    <t>Beregnet på 8 deltagere</t>
  </si>
  <si>
    <t>Beregnet på 10 deltagere</t>
  </si>
  <si>
    <t>Gennemsnitligt deltagerantal er</t>
  </si>
  <si>
    <t>NB: Dette antal er beregnet med 38, der har gennemført, og 4 der er faldet fra, som så er vægtet ind med gennemsnitligt en halv deltagelse.</t>
  </si>
  <si>
    <t>Beregnet på gennemsnitsmodels antal vægtede deltagere</t>
  </si>
  <si>
    <t>Forældre-modellen</t>
  </si>
  <si>
    <t>Model med forældreforløb</t>
  </si>
  <si>
    <t>Gruppeforløb, Unge</t>
  </si>
  <si>
    <t>Gruppeforløb, Forældre</t>
  </si>
  <si>
    <t>Her er indsat et gennemsnitligt timeforbrug på 78 timer til gennemførsel af forældreforløb</t>
  </si>
  <si>
    <t>Randers bruger 60 timer, Roskilde bruger 96, gennemsnittet er 78</t>
  </si>
  <si>
    <t>Eneste forskel fra Gennemsnitsmodellen er timer til forældreforløb,</t>
  </si>
  <si>
    <t>alle andre omkostninger holdes konstant, da vi forventer, at forældreforløbet</t>
  </si>
  <si>
    <t>ikke koster ekstra administration</t>
  </si>
  <si>
    <t>fra trukket 26 timer for de to forældre forløb</t>
  </si>
  <si>
    <t>og derefter rundet op.</t>
  </si>
  <si>
    <t>Beregnet på 7 vægtede deltagere</t>
  </si>
  <si>
    <t>Følsomhedsanalyse 1</t>
  </si>
  <si>
    <t>Følsomhedsanalyse 2</t>
  </si>
  <si>
    <t>Følsomhedsanalyse 3</t>
  </si>
  <si>
    <t>Gruppeforløb, gruppefacilitatorer</t>
  </si>
  <si>
    <t>Administration (gruppefacilitatorer)</t>
  </si>
  <si>
    <t>Møder, gruppefacilitatorer</t>
  </si>
  <si>
    <t>Uden de to forældregruppeforløb</t>
  </si>
  <si>
    <t>Møder (opfølgning + koordinering)</t>
  </si>
  <si>
    <t>Gennemsnitsmodellen fratrukket basisalternativet</t>
  </si>
  <si>
    <t>BASISALTERNATIV, 2½ t/uge i 20 uger</t>
  </si>
  <si>
    <t>Basisalternativet = 2,5 timers ugentlig støtte i 20 uger = 50 timer</t>
  </si>
  <si>
    <t>kr. i alt pr. person, der har fået basisalternativet</t>
  </si>
  <si>
    <t>kr. pr. deltager, der nu ikke modtager basisalternativet</t>
  </si>
  <si>
    <t>Regnestykke = (38 + (4 x 0,5) ) / 6 = 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</si>
</sst>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7507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7EE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>
      <protection locked="0"/>
    </xf>
  </cellStyleXfs>
  <cellXfs count="14">
    <xf numFmtId="0" fontId="0" fillId="0" borderId="0" xfId="0"/>
    <xf numFmtId="0" fontId="2" fillId="0" borderId="0" xfId="0" applyFont="1"/>
    <xf numFmtId="1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3" fontId="0" fillId="0" borderId="0" xfId="1" applyNumberFormat="1" applyFont="1"/>
    <xf numFmtId="3" fontId="2" fillId="0" borderId="0" xfId="1" applyNumberFormat="1" applyFont="1"/>
    <xf numFmtId="0" fontId="2" fillId="3" borderId="0" xfId="0" applyFont="1" applyFill="1"/>
    <xf numFmtId="3" fontId="2" fillId="3" borderId="0" xfId="0" applyNumberFormat="1" applyFont="1" applyFill="1"/>
    <xf numFmtId="0" fontId="0" fillId="3" borderId="0" xfId="0" applyFill="1"/>
    <xf numFmtId="3" fontId="0" fillId="3" borderId="0" xfId="0" applyNumberFormat="1" applyFill="1"/>
    <xf numFmtId="0" fontId="0" fillId="0" borderId="0" xfId="0" quotePrefix="1"/>
    <xf numFmtId="0" fontId="2" fillId="0" borderId="0" xfId="0" applyFont="1" applyFill="1"/>
    <xf numFmtId="3" fontId="2" fillId="0" borderId="0" xfId="0" applyNumberFormat="1" applyFont="1" applyFill="1"/>
  </cellXfs>
  <cellStyles count="3">
    <cellStyle name="InputCell" xfId="2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Gennemsnitsmodel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Gennemsnitmodellen!$K$23:$K$26</c:f>
              <c:strCache>
                <c:ptCount val="4"/>
                <c:pt idx="0">
                  <c:v>Individuel støtte</c:v>
                </c:pt>
                <c:pt idx="1">
                  <c:v>Gruppeforløb</c:v>
                </c:pt>
                <c:pt idx="2">
                  <c:v>Møder (opfølgning + koordinering)</c:v>
                </c:pt>
                <c:pt idx="3">
                  <c:v>Administration, visitation, andet</c:v>
                </c:pt>
              </c:strCache>
            </c:strRef>
          </c:cat>
          <c:val>
            <c:numRef>
              <c:f>Gennemsnitmodellen!$O$23:$O$26</c:f>
              <c:numCache>
                <c:formatCode>#,##0</c:formatCode>
                <c:ptCount val="4"/>
                <c:pt idx="0">
                  <c:v>95191.2</c:v>
                </c:pt>
                <c:pt idx="1">
                  <c:v>98982</c:v>
                </c:pt>
                <c:pt idx="2">
                  <c:v>42988.800000000003</c:v>
                </c:pt>
                <c:pt idx="3">
                  <c:v>105570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6-400E-907E-92EA24B5F61D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Gennemsnitmodellen!$K$23:$K$26</c:f>
              <c:strCache>
                <c:ptCount val="4"/>
                <c:pt idx="0">
                  <c:v>Individuel støtte</c:v>
                </c:pt>
                <c:pt idx="1">
                  <c:v>Gruppeforløb</c:v>
                </c:pt>
                <c:pt idx="2">
                  <c:v>Møder (opfølgning + koordinering)</c:v>
                </c:pt>
                <c:pt idx="3">
                  <c:v>Administration, visitation, andet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E-4D51-B902-D73EB75E8604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Gennemsnitmodellen!$K$23:$K$26</c:f>
              <c:strCache>
                <c:ptCount val="4"/>
                <c:pt idx="0">
                  <c:v>Individuel støtte</c:v>
                </c:pt>
                <c:pt idx="1">
                  <c:v>Gruppeforløb</c:v>
                </c:pt>
                <c:pt idx="2">
                  <c:v>Møder (opfølgning + koordinering)</c:v>
                </c:pt>
                <c:pt idx="3">
                  <c:v>Administration, visitation, andet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E-4D51-B902-D73EB75E8604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Gennemsnitmodellen!$K$23:$K$26</c:f>
              <c:strCache>
                <c:ptCount val="4"/>
                <c:pt idx="0">
                  <c:v>Individuel støtte</c:v>
                </c:pt>
                <c:pt idx="1">
                  <c:v>Gruppeforløb</c:v>
                </c:pt>
                <c:pt idx="2">
                  <c:v>Møder (opfølgning + koordinering)</c:v>
                </c:pt>
                <c:pt idx="3">
                  <c:v>Administration, visitation, andet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2E-4D51-B902-D73EB75E8604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Gennemsnitmodellen!$K$23:$K$26</c:f>
              <c:strCache>
                <c:ptCount val="4"/>
                <c:pt idx="0">
                  <c:v>Individuel støtte</c:v>
                </c:pt>
                <c:pt idx="1">
                  <c:v>Gruppeforløb</c:v>
                </c:pt>
                <c:pt idx="2">
                  <c:v>Møder (opfølgning + koordinering)</c:v>
                </c:pt>
                <c:pt idx="3">
                  <c:v>Administration, visitation, andet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2E-4D51-B902-D73EB75E8604}"/>
            </c:ext>
          </c:extLst>
        </c:ser>
        <c:ser>
          <c:idx val="5"/>
          <c:order val="5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Gennemsnitmodellen!$K$23:$K$26</c:f>
              <c:strCache>
                <c:ptCount val="4"/>
                <c:pt idx="0">
                  <c:v>Individuel støtte</c:v>
                </c:pt>
                <c:pt idx="1">
                  <c:v>Gruppeforløb</c:v>
                </c:pt>
                <c:pt idx="2">
                  <c:v>Møder (opfølgning + koordinering)</c:v>
                </c:pt>
                <c:pt idx="3">
                  <c:v>Administration, visitation, andet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E-4D51-B902-D73EB75E8604}"/>
            </c:ext>
          </c:extLst>
        </c:ser>
        <c:ser>
          <c:idx val="6"/>
          <c:order val="6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Gennemsnitmodellen!$K$23:$K$26</c:f>
              <c:strCache>
                <c:ptCount val="4"/>
                <c:pt idx="0">
                  <c:v>Individuel støtte</c:v>
                </c:pt>
                <c:pt idx="1">
                  <c:v>Gruppeforløb</c:v>
                </c:pt>
                <c:pt idx="2">
                  <c:v>Møder (opfølgning + koordinering)</c:v>
                </c:pt>
                <c:pt idx="3">
                  <c:v>Administration, visitation, andet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2E-4D51-B902-D73EB75E8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815800"/>
        <c:axId val="938814160"/>
      </c:barChart>
      <c:catAx>
        <c:axId val="93881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38814160"/>
        <c:crosses val="autoZero"/>
        <c:auto val="1"/>
        <c:lblAlgn val="ctr"/>
        <c:lblOffset val="100"/>
        <c:noMultiLvlLbl val="0"/>
      </c:catAx>
      <c:valAx>
        <c:axId val="93881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3881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305-484A-89B3-BC46B30D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677240"/>
        <c:axId val="415677568"/>
      </c:barChart>
      <c:catAx>
        <c:axId val="41567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5677568"/>
        <c:crosses val="autoZero"/>
        <c:auto val="1"/>
        <c:lblAlgn val="ctr"/>
        <c:lblOffset val="100"/>
        <c:noMultiLvlLbl val="0"/>
      </c:catAx>
      <c:valAx>
        <c:axId val="4156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5677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82321</xdr:colOff>
      <xdr:row>29</xdr:row>
      <xdr:rowOff>97972</xdr:rowOff>
    </xdr:from>
    <xdr:to>
      <xdr:col>29</xdr:col>
      <xdr:colOff>92868</xdr:colOff>
      <xdr:row>54</xdr:row>
      <xdr:rowOff>104775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438149</xdr:colOff>
      <xdr:row>20</xdr:row>
      <xdr:rowOff>76200</xdr:rowOff>
    </xdr:from>
    <xdr:to>
      <xdr:col>41</xdr:col>
      <xdr:colOff>171450</xdr:colOff>
      <xdr:row>42</xdr:row>
      <xdr:rowOff>38100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"/>
  <sheetViews>
    <sheetView tabSelected="1" zoomScaleNormal="100" workbookViewId="0"/>
  </sheetViews>
  <sheetFormatPr defaultRowHeight="14.4" x14ac:dyDescent="0.3"/>
  <cols>
    <col min="2" max="2" width="32.88671875" bestFit="1" customWidth="1"/>
    <col min="11" max="11" width="34.33203125" bestFit="1" customWidth="1"/>
    <col min="13" max="13" width="17" bestFit="1" customWidth="1"/>
    <col min="14" max="14" width="15.6640625" bestFit="1" customWidth="1"/>
    <col min="15" max="15" width="14" bestFit="1" customWidth="1"/>
    <col min="18" max="29" width="11" customWidth="1"/>
  </cols>
  <sheetData>
    <row r="1" spans="1:16" ht="38.25" customHeight="1" x14ac:dyDescent="0.3">
      <c r="A1" s="1" t="s">
        <v>0</v>
      </c>
      <c r="B1" s="1"/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L1" t="s">
        <v>26</v>
      </c>
      <c r="M1" t="s">
        <v>25</v>
      </c>
      <c r="N1" t="s">
        <v>30</v>
      </c>
      <c r="O1" t="s">
        <v>28</v>
      </c>
    </row>
    <row r="2" spans="1:16" x14ac:dyDescent="0.3">
      <c r="B2" t="s">
        <v>7</v>
      </c>
      <c r="C2" s="2">
        <v>1103.5</v>
      </c>
      <c r="D2" s="2">
        <v>0</v>
      </c>
      <c r="E2" s="2">
        <v>0</v>
      </c>
      <c r="F2" s="2">
        <v>16</v>
      </c>
      <c r="G2" s="2">
        <v>0</v>
      </c>
      <c r="H2" s="2">
        <v>1119.5</v>
      </c>
      <c r="K2" t="s">
        <v>29</v>
      </c>
      <c r="L2">
        <v>351</v>
      </c>
      <c r="M2">
        <f>SUM(L2*1.2)</f>
        <v>421.2</v>
      </c>
      <c r="N2">
        <v>187</v>
      </c>
      <c r="O2" s="3">
        <f>SUM($M2*N2)</f>
        <v>78764.399999999994</v>
      </c>
    </row>
    <row r="3" spans="1:16" x14ac:dyDescent="0.3">
      <c r="B3" t="s">
        <v>8</v>
      </c>
      <c r="C3" s="2">
        <v>0</v>
      </c>
      <c r="D3" s="2">
        <v>892.5</v>
      </c>
      <c r="E3" s="2">
        <v>0</v>
      </c>
      <c r="F3" s="2">
        <v>26</v>
      </c>
      <c r="G3" s="2">
        <v>0</v>
      </c>
      <c r="H3" s="2">
        <v>918.5</v>
      </c>
      <c r="K3" t="s">
        <v>12</v>
      </c>
      <c r="L3">
        <v>428</v>
      </c>
      <c r="M3">
        <f>SUM(L3*1.2)</f>
        <v>513.6</v>
      </c>
      <c r="N3">
        <v>0</v>
      </c>
      <c r="O3" s="3">
        <f t="shared" ref="O3:O15" si="0">SUM(M3*N3)</f>
        <v>0</v>
      </c>
    </row>
    <row r="4" spans="1:16" x14ac:dyDescent="0.3">
      <c r="B4" t="s">
        <v>9</v>
      </c>
      <c r="C4" s="2">
        <v>231</v>
      </c>
      <c r="D4" s="2">
        <v>647</v>
      </c>
      <c r="E4" s="2">
        <v>22</v>
      </c>
      <c r="F4" s="2">
        <v>311</v>
      </c>
      <c r="G4" s="2">
        <v>93</v>
      </c>
      <c r="H4" s="2">
        <v>1304</v>
      </c>
      <c r="K4" t="s">
        <v>65</v>
      </c>
      <c r="L4">
        <v>351</v>
      </c>
      <c r="M4">
        <f t="shared" ref="M4:M15" si="1">SUM(L4*1.2)</f>
        <v>421.2</v>
      </c>
      <c r="N4">
        <f>153-26</f>
        <v>127</v>
      </c>
      <c r="O4" s="3">
        <f t="shared" si="0"/>
        <v>53492.4</v>
      </c>
      <c r="P4" t="s">
        <v>59</v>
      </c>
    </row>
    <row r="5" spans="1:16" x14ac:dyDescent="0.3">
      <c r="B5" t="s">
        <v>10</v>
      </c>
      <c r="C5" s="2">
        <v>128</v>
      </c>
      <c r="D5" s="2">
        <v>86</v>
      </c>
      <c r="E5" s="2">
        <v>37</v>
      </c>
      <c r="F5" s="2">
        <v>989</v>
      </c>
      <c r="G5" s="2">
        <v>25</v>
      </c>
      <c r="H5" s="2">
        <v>1265</v>
      </c>
      <c r="K5" t="s">
        <v>14</v>
      </c>
      <c r="L5">
        <v>428</v>
      </c>
      <c r="M5">
        <f t="shared" si="1"/>
        <v>513.6</v>
      </c>
      <c r="N5">
        <v>0</v>
      </c>
      <c r="O5" s="3">
        <f t="shared" si="0"/>
        <v>0</v>
      </c>
      <c r="P5" t="s">
        <v>33</v>
      </c>
    </row>
    <row r="6" spans="1:16" x14ac:dyDescent="0.3">
      <c r="B6" t="s">
        <v>6</v>
      </c>
      <c r="C6" s="2">
        <v>1462.5</v>
      </c>
      <c r="D6" s="2">
        <v>1625.5</v>
      </c>
      <c r="E6" s="2">
        <v>59</v>
      </c>
      <c r="F6" s="2">
        <v>1342</v>
      </c>
      <c r="G6" s="2">
        <v>118</v>
      </c>
      <c r="H6" s="2">
        <v>4607</v>
      </c>
      <c r="K6" t="s">
        <v>15</v>
      </c>
      <c r="L6">
        <v>351</v>
      </c>
      <c r="M6">
        <f t="shared" si="1"/>
        <v>421.2</v>
      </c>
      <c r="N6">
        <v>39</v>
      </c>
      <c r="O6" s="3">
        <f t="shared" si="0"/>
        <v>16426.8</v>
      </c>
    </row>
    <row r="7" spans="1:16" x14ac:dyDescent="0.3">
      <c r="C7" s="2"/>
      <c r="D7" s="2"/>
      <c r="E7" s="2"/>
      <c r="F7" s="2"/>
      <c r="G7" s="2"/>
      <c r="H7" s="2"/>
      <c r="K7" t="s">
        <v>67</v>
      </c>
      <c r="L7">
        <v>351</v>
      </c>
      <c r="M7">
        <f t="shared" si="1"/>
        <v>421.2</v>
      </c>
      <c r="N7">
        <v>108</v>
      </c>
      <c r="O7" s="3">
        <f t="shared" si="0"/>
        <v>45489.599999999999</v>
      </c>
    </row>
    <row r="8" spans="1:16" x14ac:dyDescent="0.3">
      <c r="C8" s="2"/>
      <c r="D8" s="2"/>
      <c r="E8" s="2"/>
      <c r="F8" s="2"/>
      <c r="G8" s="2"/>
      <c r="H8" s="2"/>
      <c r="K8" t="s">
        <v>17</v>
      </c>
      <c r="L8">
        <v>428</v>
      </c>
      <c r="M8">
        <f t="shared" si="1"/>
        <v>513.6</v>
      </c>
      <c r="N8">
        <v>4</v>
      </c>
      <c r="O8" s="3">
        <f t="shared" si="0"/>
        <v>2054.4</v>
      </c>
    </row>
    <row r="9" spans="1:16" x14ac:dyDescent="0.3">
      <c r="A9" s="1" t="s">
        <v>11</v>
      </c>
      <c r="C9" s="2"/>
      <c r="D9" s="2"/>
      <c r="E9" s="2"/>
      <c r="F9" s="2"/>
      <c r="G9" s="2"/>
      <c r="H9" s="2"/>
      <c r="K9" t="s">
        <v>18</v>
      </c>
      <c r="L9">
        <v>428</v>
      </c>
      <c r="M9">
        <f t="shared" si="1"/>
        <v>513.6</v>
      </c>
      <c r="N9">
        <v>52</v>
      </c>
      <c r="O9" s="3">
        <f t="shared" si="0"/>
        <v>26707.200000000001</v>
      </c>
    </row>
    <row r="10" spans="1:16" x14ac:dyDescent="0.3">
      <c r="B10" t="s">
        <v>7</v>
      </c>
      <c r="C10" s="2">
        <v>183.91666666666666</v>
      </c>
      <c r="D10" s="2">
        <v>0</v>
      </c>
      <c r="E10" s="2">
        <v>0</v>
      </c>
      <c r="F10" s="2">
        <v>2.6666666666666665</v>
      </c>
      <c r="G10" s="2">
        <v>0</v>
      </c>
      <c r="H10" s="2">
        <v>186.58333333333334</v>
      </c>
      <c r="K10" t="s">
        <v>19</v>
      </c>
      <c r="L10">
        <v>741</v>
      </c>
      <c r="M10">
        <f t="shared" si="1"/>
        <v>889.19999999999993</v>
      </c>
      <c r="N10">
        <v>16</v>
      </c>
      <c r="O10" s="3">
        <f t="shared" si="0"/>
        <v>14227.199999999999</v>
      </c>
    </row>
    <row r="11" spans="1:16" x14ac:dyDescent="0.3">
      <c r="B11" t="s">
        <v>8</v>
      </c>
      <c r="C11" s="2">
        <v>0</v>
      </c>
      <c r="D11" s="2">
        <v>148.75</v>
      </c>
      <c r="E11" s="2">
        <v>0</v>
      </c>
      <c r="F11" s="2">
        <v>4.333333333333333</v>
      </c>
      <c r="G11" s="2">
        <v>0</v>
      </c>
      <c r="H11" s="2">
        <v>153.08333333333334</v>
      </c>
      <c r="K11" t="s">
        <v>20</v>
      </c>
      <c r="L11">
        <v>351</v>
      </c>
      <c r="M11">
        <f t="shared" si="1"/>
        <v>421.2</v>
      </c>
      <c r="N11">
        <v>21</v>
      </c>
      <c r="O11" s="3">
        <f t="shared" si="0"/>
        <v>8845.1999999999989</v>
      </c>
    </row>
    <row r="12" spans="1:16" x14ac:dyDescent="0.3">
      <c r="B12" t="s">
        <v>9</v>
      </c>
      <c r="C12" s="2">
        <v>38.5</v>
      </c>
      <c r="D12" s="2">
        <v>107.83333333333333</v>
      </c>
      <c r="E12" s="2">
        <v>3.6666666666666665</v>
      </c>
      <c r="F12" s="2">
        <v>51.833333333333336</v>
      </c>
      <c r="G12" s="2">
        <v>15.5</v>
      </c>
      <c r="H12" s="2">
        <v>217.33333333333334</v>
      </c>
      <c r="K12" t="s">
        <v>66</v>
      </c>
      <c r="L12">
        <v>351</v>
      </c>
      <c r="M12">
        <f t="shared" si="1"/>
        <v>421.2</v>
      </c>
      <c r="N12">
        <v>14</v>
      </c>
      <c r="O12" s="3">
        <f t="shared" si="0"/>
        <v>5896.8</v>
      </c>
    </row>
    <row r="13" spans="1:16" x14ac:dyDescent="0.3">
      <c r="B13" t="s">
        <v>10</v>
      </c>
      <c r="C13" s="2">
        <v>21.333333333333332</v>
      </c>
      <c r="D13" s="2">
        <v>14.333333333333334</v>
      </c>
      <c r="E13" s="2">
        <v>6.166666666666667</v>
      </c>
      <c r="F13" s="2">
        <v>164.83333333333334</v>
      </c>
      <c r="G13" s="2">
        <v>4.166666666666667</v>
      </c>
      <c r="H13" s="2">
        <v>210.83333333333334</v>
      </c>
      <c r="K13" t="s">
        <v>22</v>
      </c>
      <c r="L13">
        <v>351</v>
      </c>
      <c r="M13">
        <f t="shared" si="1"/>
        <v>421.2</v>
      </c>
      <c r="N13">
        <v>6</v>
      </c>
      <c r="O13" s="3">
        <f t="shared" si="0"/>
        <v>2527.1999999999998</v>
      </c>
    </row>
    <row r="14" spans="1:16" x14ac:dyDescent="0.3">
      <c r="B14" t="s">
        <v>6</v>
      </c>
      <c r="C14" s="2">
        <v>243.75</v>
      </c>
      <c r="D14" s="2">
        <v>270.91666666666669</v>
      </c>
      <c r="E14" s="2">
        <v>9.8333333333333339</v>
      </c>
      <c r="F14" s="2">
        <v>223.66666666666666</v>
      </c>
      <c r="G14" s="2">
        <v>19.666666666666668</v>
      </c>
      <c r="H14" s="2">
        <v>767.83333333333337</v>
      </c>
      <c r="K14" t="s">
        <v>23</v>
      </c>
      <c r="L14">
        <v>428</v>
      </c>
      <c r="M14">
        <f t="shared" si="1"/>
        <v>513.6</v>
      </c>
      <c r="N14">
        <v>165</v>
      </c>
      <c r="O14" s="3">
        <f t="shared" si="0"/>
        <v>84744</v>
      </c>
    </row>
    <row r="15" spans="1:16" x14ac:dyDescent="0.3">
      <c r="K15" t="s">
        <v>24</v>
      </c>
      <c r="L15">
        <v>741</v>
      </c>
      <c r="M15">
        <f t="shared" si="1"/>
        <v>889.19999999999993</v>
      </c>
      <c r="N15">
        <v>4</v>
      </c>
      <c r="O15" s="3">
        <f t="shared" si="0"/>
        <v>3556.7999999999997</v>
      </c>
    </row>
    <row r="16" spans="1:16" x14ac:dyDescent="0.3">
      <c r="N16">
        <f>SUM(N2:N15)</f>
        <v>743</v>
      </c>
      <c r="O16" s="3"/>
    </row>
    <row r="17" spans="1:17" x14ac:dyDescent="0.3">
      <c r="O17" s="3"/>
    </row>
    <row r="18" spans="1:17" x14ac:dyDescent="0.3">
      <c r="A18" t="s">
        <v>27</v>
      </c>
      <c r="B18" s="1" t="s">
        <v>47</v>
      </c>
      <c r="C18">
        <v>6.7</v>
      </c>
      <c r="N18" s="7" t="s">
        <v>31</v>
      </c>
      <c r="O18" s="8">
        <f>SUM(O2:O15)</f>
        <v>342732</v>
      </c>
      <c r="P18" s="1"/>
      <c r="Q18" s="1"/>
    </row>
    <row r="19" spans="1:17" x14ac:dyDescent="0.3">
      <c r="B19" t="s">
        <v>48</v>
      </c>
      <c r="N19" s="7" t="s">
        <v>32</v>
      </c>
      <c r="O19" s="8">
        <f>SUM(O18/$C$18)</f>
        <v>51154.029850746265</v>
      </c>
      <c r="Q19" s="1"/>
    </row>
    <row r="20" spans="1:17" x14ac:dyDescent="0.3">
      <c r="B20" t="s">
        <v>60</v>
      </c>
      <c r="K20" s="1" t="s">
        <v>68</v>
      </c>
      <c r="N20" s="9" t="s">
        <v>61</v>
      </c>
      <c r="O20" s="10"/>
    </row>
    <row r="21" spans="1:17" x14ac:dyDescent="0.3">
      <c r="B21" t="s">
        <v>75</v>
      </c>
      <c r="O21" s="3"/>
    </row>
    <row r="22" spans="1:17" x14ac:dyDescent="0.3">
      <c r="O22" s="3"/>
    </row>
    <row r="23" spans="1:17" x14ac:dyDescent="0.3">
      <c r="K23" t="s">
        <v>7</v>
      </c>
      <c r="O23" s="5">
        <f>+O2+O6</f>
        <v>95191.2</v>
      </c>
    </row>
    <row r="24" spans="1:17" x14ac:dyDescent="0.3">
      <c r="K24" t="s">
        <v>8</v>
      </c>
      <c r="O24" s="5">
        <f>+O4+O5+O7</f>
        <v>98982</v>
      </c>
    </row>
    <row r="25" spans="1:17" x14ac:dyDescent="0.3">
      <c r="K25" t="s">
        <v>69</v>
      </c>
      <c r="O25" s="5">
        <f>+O8+O9+O10</f>
        <v>42988.800000000003</v>
      </c>
    </row>
    <row r="26" spans="1:17" x14ac:dyDescent="0.3">
      <c r="K26" t="s">
        <v>10</v>
      </c>
      <c r="O26" s="5">
        <f>+O13+O14+O15+O11+O12</f>
        <v>105570</v>
      </c>
    </row>
    <row r="27" spans="1:17" x14ac:dyDescent="0.3">
      <c r="C27" s="1"/>
      <c r="K27" t="s">
        <v>6</v>
      </c>
      <c r="O27" s="6">
        <f>SUM(O23:O26)</f>
        <v>342732</v>
      </c>
    </row>
    <row r="28" spans="1:17" x14ac:dyDescent="0.3">
      <c r="C28" s="3"/>
    </row>
    <row r="29" spans="1:17" x14ac:dyDescent="0.3">
      <c r="C29" s="3"/>
    </row>
    <row r="30" spans="1:17" x14ac:dyDescent="0.3">
      <c r="C30" s="3"/>
    </row>
    <row r="31" spans="1:17" x14ac:dyDescent="0.3">
      <c r="C31" s="3"/>
    </row>
    <row r="32" spans="1:17" x14ac:dyDescent="0.3">
      <c r="C32" s="3"/>
    </row>
    <row r="35" spans="2:14" x14ac:dyDescent="0.3">
      <c r="B35" s="1"/>
      <c r="C35" s="4"/>
      <c r="D35" s="4"/>
      <c r="E35" s="4"/>
      <c r="F35" s="4"/>
      <c r="G35" s="4"/>
      <c r="H35" s="4"/>
      <c r="N35" s="3"/>
    </row>
    <row r="36" spans="2:14" x14ac:dyDescent="0.3">
      <c r="C36" s="3"/>
      <c r="D36" s="3"/>
      <c r="E36" s="3"/>
      <c r="F36" s="3"/>
      <c r="G36" s="3"/>
      <c r="H36" s="3"/>
    </row>
    <row r="53" spans="2:14" x14ac:dyDescent="0.3">
      <c r="B53" s="1"/>
      <c r="C53" s="3"/>
      <c r="D53" s="3"/>
      <c r="E53" s="3"/>
      <c r="F53" s="3"/>
      <c r="G53" s="3"/>
      <c r="H53" s="3"/>
      <c r="N53" s="3"/>
    </row>
    <row r="268" spans="17:18" x14ac:dyDescent="0.3">
      <c r="Q268">
        <f>187/6.6</f>
        <v>28.333333333333336</v>
      </c>
      <c r="R268" t="s">
        <v>40</v>
      </c>
    </row>
    <row r="272" spans="17:18" x14ac:dyDescent="0.3">
      <c r="Q272">
        <f>39/6.6</f>
        <v>5.9090909090909092</v>
      </c>
    </row>
    <row r="277" spans="17:17" x14ac:dyDescent="0.3">
      <c r="Q277">
        <f>21/6.6</f>
        <v>3.1818181818181821</v>
      </c>
    </row>
    <row r="280" spans="17:17" x14ac:dyDescent="0.3">
      <c r="Q280" t="s">
        <v>43</v>
      </c>
    </row>
    <row r="298" spans="2:8" x14ac:dyDescent="0.3">
      <c r="B298" s="1"/>
      <c r="C298" s="4"/>
      <c r="D298" s="4"/>
      <c r="E298" s="4"/>
      <c r="F298" s="4"/>
      <c r="G298" s="4"/>
      <c r="H298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D12" sqref="D12"/>
    </sheetView>
  </sheetViews>
  <sheetFormatPr defaultRowHeight="14.4" x14ac:dyDescent="0.3"/>
  <sheetData>
    <row r="1" spans="1:14" x14ac:dyDescent="0.3">
      <c r="A1" s="1" t="s">
        <v>70</v>
      </c>
      <c r="K1" t="s">
        <v>26</v>
      </c>
      <c r="L1" t="s">
        <v>25</v>
      </c>
      <c r="M1" t="s">
        <v>30</v>
      </c>
      <c r="N1" t="s">
        <v>28</v>
      </c>
    </row>
    <row r="2" spans="1:14" x14ac:dyDescent="0.3">
      <c r="J2" t="s">
        <v>29</v>
      </c>
      <c r="K2">
        <v>351</v>
      </c>
      <c r="L2">
        <f t="shared" ref="L2:L15" si="0">SUM(K2*1.2)</f>
        <v>421.2</v>
      </c>
      <c r="M2">
        <v>187</v>
      </c>
      <c r="N2" s="3">
        <f>SUM($L2*M2)</f>
        <v>78764.399999999994</v>
      </c>
    </row>
    <row r="3" spans="1:14" x14ac:dyDescent="0.3">
      <c r="J3" t="s">
        <v>71</v>
      </c>
      <c r="K3">
        <v>351</v>
      </c>
      <c r="L3">
        <f t="shared" si="0"/>
        <v>421.2</v>
      </c>
      <c r="M3">
        <v>0</v>
      </c>
      <c r="N3" s="3">
        <f t="shared" ref="N3:N15" si="1">SUM(L3*M3)</f>
        <v>0</v>
      </c>
    </row>
    <row r="4" spans="1:14" x14ac:dyDescent="0.3">
      <c r="J4" t="s">
        <v>65</v>
      </c>
      <c r="K4">
        <v>351</v>
      </c>
      <c r="L4">
        <f t="shared" si="0"/>
        <v>421.2</v>
      </c>
      <c r="M4">
        <f>153-26</f>
        <v>127</v>
      </c>
      <c r="N4" s="3">
        <f t="shared" si="1"/>
        <v>53492.4</v>
      </c>
    </row>
    <row r="5" spans="1:14" x14ac:dyDescent="0.3">
      <c r="J5" t="s">
        <v>14</v>
      </c>
      <c r="K5">
        <v>428</v>
      </c>
      <c r="L5">
        <f t="shared" si="0"/>
        <v>513.6</v>
      </c>
      <c r="M5">
        <v>0</v>
      </c>
      <c r="N5" s="3">
        <f t="shared" si="1"/>
        <v>0</v>
      </c>
    </row>
    <row r="6" spans="1:14" x14ac:dyDescent="0.3">
      <c r="J6" t="s">
        <v>15</v>
      </c>
      <c r="K6">
        <v>351</v>
      </c>
      <c r="L6">
        <f t="shared" si="0"/>
        <v>421.2</v>
      </c>
      <c r="M6">
        <v>39</v>
      </c>
      <c r="N6" s="3">
        <f t="shared" si="1"/>
        <v>16426.8</v>
      </c>
    </row>
    <row r="7" spans="1:14" x14ac:dyDescent="0.3">
      <c r="J7" t="s">
        <v>67</v>
      </c>
      <c r="K7">
        <v>351</v>
      </c>
      <c r="L7">
        <f t="shared" si="0"/>
        <v>421.2</v>
      </c>
      <c r="M7">
        <v>108</v>
      </c>
      <c r="N7" s="3">
        <f t="shared" si="1"/>
        <v>45489.599999999999</v>
      </c>
    </row>
    <row r="8" spans="1:14" x14ac:dyDescent="0.3">
      <c r="J8" t="s">
        <v>17</v>
      </c>
      <c r="K8">
        <v>428</v>
      </c>
      <c r="L8">
        <f t="shared" si="0"/>
        <v>513.6</v>
      </c>
      <c r="M8">
        <v>4</v>
      </c>
      <c r="N8" s="3">
        <f t="shared" si="1"/>
        <v>2054.4</v>
      </c>
    </row>
    <row r="9" spans="1:14" x14ac:dyDescent="0.3">
      <c r="J9" t="s">
        <v>18</v>
      </c>
      <c r="K9">
        <v>428</v>
      </c>
      <c r="L9">
        <f t="shared" si="0"/>
        <v>513.6</v>
      </c>
      <c r="M9">
        <v>52</v>
      </c>
      <c r="N9" s="3">
        <f t="shared" si="1"/>
        <v>26707.200000000001</v>
      </c>
    </row>
    <row r="10" spans="1:14" x14ac:dyDescent="0.3">
      <c r="J10" t="s">
        <v>19</v>
      </c>
      <c r="K10">
        <v>741</v>
      </c>
      <c r="L10">
        <f t="shared" si="0"/>
        <v>889.19999999999993</v>
      </c>
      <c r="M10">
        <v>16</v>
      </c>
      <c r="N10" s="3">
        <f t="shared" si="1"/>
        <v>14227.199999999999</v>
      </c>
    </row>
    <row r="11" spans="1:14" x14ac:dyDescent="0.3">
      <c r="J11" t="s">
        <v>20</v>
      </c>
      <c r="K11">
        <v>351</v>
      </c>
      <c r="L11">
        <f t="shared" si="0"/>
        <v>421.2</v>
      </c>
      <c r="M11">
        <v>21</v>
      </c>
      <c r="N11" s="3">
        <f t="shared" si="1"/>
        <v>8845.1999999999989</v>
      </c>
    </row>
    <row r="12" spans="1:14" x14ac:dyDescent="0.3">
      <c r="J12" t="s">
        <v>66</v>
      </c>
      <c r="K12">
        <v>351</v>
      </c>
      <c r="L12">
        <f t="shared" si="0"/>
        <v>421.2</v>
      </c>
      <c r="M12">
        <v>14</v>
      </c>
      <c r="N12" s="3">
        <f t="shared" si="1"/>
        <v>5896.8</v>
      </c>
    </row>
    <row r="13" spans="1:14" x14ac:dyDescent="0.3">
      <c r="J13" t="s">
        <v>22</v>
      </c>
      <c r="K13">
        <v>351</v>
      </c>
      <c r="L13">
        <f t="shared" si="0"/>
        <v>421.2</v>
      </c>
      <c r="M13">
        <v>6</v>
      </c>
      <c r="N13" s="3">
        <f t="shared" si="1"/>
        <v>2527.1999999999998</v>
      </c>
    </row>
    <row r="14" spans="1:14" x14ac:dyDescent="0.3">
      <c r="J14" t="s">
        <v>23</v>
      </c>
      <c r="K14">
        <v>428</v>
      </c>
      <c r="L14">
        <f t="shared" si="0"/>
        <v>513.6</v>
      </c>
      <c r="M14">
        <v>165</v>
      </c>
      <c r="N14" s="3">
        <f t="shared" si="1"/>
        <v>84744</v>
      </c>
    </row>
    <row r="15" spans="1:14" x14ac:dyDescent="0.3">
      <c r="J15" t="s">
        <v>24</v>
      </c>
      <c r="K15">
        <v>741</v>
      </c>
      <c r="L15">
        <f t="shared" si="0"/>
        <v>889.19999999999993</v>
      </c>
      <c r="M15">
        <v>4</v>
      </c>
      <c r="N15" s="3">
        <f t="shared" si="1"/>
        <v>3556.7999999999997</v>
      </c>
    </row>
    <row r="16" spans="1:14" x14ac:dyDescent="0.3">
      <c r="M16">
        <f>SUM(M2:M15)</f>
        <v>743</v>
      </c>
      <c r="N16" s="3"/>
    </row>
    <row r="17" spans="10:21" x14ac:dyDescent="0.3">
      <c r="N17" s="3"/>
      <c r="P17" s="11" t="s">
        <v>72</v>
      </c>
    </row>
    <row r="18" spans="10:21" x14ac:dyDescent="0.3">
      <c r="M18" s="7" t="s">
        <v>31</v>
      </c>
      <c r="N18" s="8">
        <f>SUM(N2:N15)</f>
        <v>342732</v>
      </c>
      <c r="P18" s="3">
        <f>50*L3</f>
        <v>21060</v>
      </c>
      <c r="Q18" t="s">
        <v>73</v>
      </c>
    </row>
    <row r="19" spans="10:21" x14ac:dyDescent="0.3">
      <c r="M19" s="12" t="s">
        <v>32</v>
      </c>
      <c r="N19" s="13">
        <f>SUM(N18/Gennemsnitmodellen!$C$18)</f>
        <v>51154.029850746265</v>
      </c>
      <c r="P19" s="8">
        <f>+N19-P18</f>
        <v>30094.029850746265</v>
      </c>
      <c r="Q19" s="7" t="s">
        <v>74</v>
      </c>
      <c r="R19" s="9"/>
      <c r="S19" s="9"/>
      <c r="T19" s="9"/>
      <c r="U19" s="9"/>
    </row>
    <row r="20" spans="10:21" x14ac:dyDescent="0.3">
      <c r="J20" s="1" t="s">
        <v>68</v>
      </c>
      <c r="M20" s="9" t="s">
        <v>61</v>
      </c>
      <c r="N20" s="10"/>
    </row>
    <row r="21" spans="10:21" x14ac:dyDescent="0.3">
      <c r="N21" s="3"/>
    </row>
    <row r="22" spans="10:21" x14ac:dyDescent="0.3">
      <c r="N22" s="3"/>
    </row>
    <row r="23" spans="10:21" x14ac:dyDescent="0.3">
      <c r="J23" t="s">
        <v>7</v>
      </c>
      <c r="N23" s="5">
        <f>+N2+N6</f>
        <v>95191.2</v>
      </c>
    </row>
    <row r="24" spans="10:21" x14ac:dyDescent="0.3">
      <c r="J24" t="s">
        <v>8</v>
      </c>
      <c r="N24" s="5">
        <f>+N4+N5+N7</f>
        <v>98982</v>
      </c>
    </row>
    <row r="25" spans="10:21" x14ac:dyDescent="0.3">
      <c r="J25" t="s">
        <v>69</v>
      </c>
      <c r="N25" s="5">
        <f>+N8+N9+N10</f>
        <v>42988.800000000003</v>
      </c>
    </row>
    <row r="26" spans="10:21" x14ac:dyDescent="0.3">
      <c r="J26" t="s">
        <v>10</v>
      </c>
      <c r="N26" s="5">
        <f>+N13+N14+N15+N11+N12</f>
        <v>105570</v>
      </c>
    </row>
    <row r="27" spans="10:21" x14ac:dyDescent="0.3">
      <c r="J27" t="s">
        <v>6</v>
      </c>
      <c r="N27" s="6">
        <f>SUM(N23:N26)</f>
        <v>342732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D8" sqref="D8"/>
    </sheetView>
  </sheetViews>
  <sheetFormatPr defaultRowHeight="14.4" x14ac:dyDescent="0.3"/>
  <sheetData>
    <row r="1" spans="1:14" x14ac:dyDescent="0.3">
      <c r="A1" t="s">
        <v>50</v>
      </c>
      <c r="K1" t="s">
        <v>26</v>
      </c>
      <c r="L1" t="s">
        <v>25</v>
      </c>
      <c r="M1" t="s">
        <v>30</v>
      </c>
      <c r="N1" t="s">
        <v>28</v>
      </c>
    </row>
    <row r="2" spans="1:14" x14ac:dyDescent="0.3">
      <c r="A2" s="9" t="s">
        <v>51</v>
      </c>
      <c r="J2" t="s">
        <v>29</v>
      </c>
      <c r="K2">
        <v>351</v>
      </c>
      <c r="L2">
        <f t="shared" ref="L2:L15" si="0">SUM(K2*1.2)</f>
        <v>421.2</v>
      </c>
      <c r="M2">
        <v>187</v>
      </c>
      <c r="N2" s="3">
        <f t="shared" ref="N2:N15" si="1">SUM(L2*M2)</f>
        <v>78764.399999999994</v>
      </c>
    </row>
    <row r="3" spans="1:14" x14ac:dyDescent="0.3">
      <c r="A3" t="s">
        <v>54</v>
      </c>
      <c r="J3" t="s">
        <v>12</v>
      </c>
      <c r="K3">
        <v>428</v>
      </c>
      <c r="L3">
        <f t="shared" si="0"/>
        <v>513.6</v>
      </c>
      <c r="M3">
        <v>0</v>
      </c>
      <c r="N3" s="3">
        <f t="shared" si="1"/>
        <v>0</v>
      </c>
    </row>
    <row r="4" spans="1:14" x14ac:dyDescent="0.3">
      <c r="A4" t="s">
        <v>55</v>
      </c>
      <c r="J4" t="s">
        <v>52</v>
      </c>
      <c r="K4">
        <v>351</v>
      </c>
      <c r="L4">
        <f t="shared" si="0"/>
        <v>421.2</v>
      </c>
      <c r="M4">
        <v>127</v>
      </c>
      <c r="N4" s="3">
        <f t="shared" si="1"/>
        <v>53492.4</v>
      </c>
    </row>
    <row r="5" spans="1:14" x14ac:dyDescent="0.3">
      <c r="J5" s="9" t="s">
        <v>53</v>
      </c>
      <c r="K5" s="9">
        <v>351</v>
      </c>
      <c r="L5" s="9">
        <f t="shared" si="0"/>
        <v>421.2</v>
      </c>
      <c r="M5" s="9">
        <v>78</v>
      </c>
      <c r="N5" s="10">
        <f t="shared" si="1"/>
        <v>32853.599999999999</v>
      </c>
    </row>
    <row r="6" spans="1:14" x14ac:dyDescent="0.3">
      <c r="A6" t="s">
        <v>56</v>
      </c>
      <c r="J6" t="s">
        <v>15</v>
      </c>
      <c r="K6">
        <v>351</v>
      </c>
      <c r="L6">
        <f t="shared" si="0"/>
        <v>421.2</v>
      </c>
      <c r="M6">
        <v>39</v>
      </c>
      <c r="N6" s="3">
        <f t="shared" si="1"/>
        <v>16426.8</v>
      </c>
    </row>
    <row r="7" spans="1:14" x14ac:dyDescent="0.3">
      <c r="A7" t="s">
        <v>57</v>
      </c>
      <c r="J7" t="s">
        <v>16</v>
      </c>
      <c r="K7">
        <v>351</v>
      </c>
      <c r="L7">
        <f t="shared" si="0"/>
        <v>421.2</v>
      </c>
      <c r="M7">
        <v>108</v>
      </c>
      <c r="N7" s="3">
        <f t="shared" si="1"/>
        <v>45489.599999999999</v>
      </c>
    </row>
    <row r="8" spans="1:14" x14ac:dyDescent="0.3">
      <c r="A8" t="s">
        <v>58</v>
      </c>
      <c r="J8" t="s">
        <v>17</v>
      </c>
      <c r="K8">
        <v>428</v>
      </c>
      <c r="L8">
        <f t="shared" si="0"/>
        <v>513.6</v>
      </c>
      <c r="M8">
        <v>4</v>
      </c>
      <c r="N8" s="3">
        <f t="shared" si="1"/>
        <v>2054.4</v>
      </c>
    </row>
    <row r="9" spans="1:14" x14ac:dyDescent="0.3">
      <c r="J9" t="s">
        <v>18</v>
      </c>
      <c r="K9">
        <v>428</v>
      </c>
      <c r="L9">
        <f t="shared" si="0"/>
        <v>513.6</v>
      </c>
      <c r="M9">
        <v>52</v>
      </c>
      <c r="N9" s="3">
        <f t="shared" si="1"/>
        <v>26707.200000000001</v>
      </c>
    </row>
    <row r="10" spans="1:14" x14ac:dyDescent="0.3">
      <c r="J10" t="s">
        <v>19</v>
      </c>
      <c r="K10">
        <v>741</v>
      </c>
      <c r="L10">
        <f t="shared" si="0"/>
        <v>889.19999999999993</v>
      </c>
      <c r="M10">
        <v>16</v>
      </c>
      <c r="N10" s="3">
        <f t="shared" si="1"/>
        <v>14227.199999999999</v>
      </c>
    </row>
    <row r="11" spans="1:14" x14ac:dyDescent="0.3">
      <c r="J11" t="s">
        <v>20</v>
      </c>
      <c r="K11">
        <v>351</v>
      </c>
      <c r="L11">
        <f t="shared" si="0"/>
        <v>421.2</v>
      </c>
      <c r="M11">
        <v>21</v>
      </c>
      <c r="N11" s="3">
        <f t="shared" si="1"/>
        <v>8845.1999999999989</v>
      </c>
    </row>
    <row r="12" spans="1:14" x14ac:dyDescent="0.3">
      <c r="J12" t="s">
        <v>21</v>
      </c>
      <c r="K12">
        <v>351</v>
      </c>
      <c r="L12">
        <f t="shared" si="0"/>
        <v>421.2</v>
      </c>
      <c r="M12">
        <v>14</v>
      </c>
      <c r="N12" s="3">
        <f t="shared" si="1"/>
        <v>5896.8</v>
      </c>
    </row>
    <row r="13" spans="1:14" x14ac:dyDescent="0.3">
      <c r="J13" t="s">
        <v>22</v>
      </c>
      <c r="K13">
        <v>351</v>
      </c>
      <c r="L13">
        <f t="shared" si="0"/>
        <v>421.2</v>
      </c>
      <c r="M13">
        <v>6</v>
      </c>
      <c r="N13" s="3">
        <f t="shared" si="1"/>
        <v>2527.1999999999998</v>
      </c>
    </row>
    <row r="14" spans="1:14" x14ac:dyDescent="0.3">
      <c r="J14" t="s">
        <v>23</v>
      </c>
      <c r="K14">
        <v>428</v>
      </c>
      <c r="L14">
        <f t="shared" si="0"/>
        <v>513.6</v>
      </c>
      <c r="M14">
        <v>165</v>
      </c>
      <c r="N14" s="3">
        <f t="shared" si="1"/>
        <v>84744</v>
      </c>
    </row>
    <row r="15" spans="1:14" x14ac:dyDescent="0.3">
      <c r="J15" t="s">
        <v>24</v>
      </c>
      <c r="K15">
        <v>741</v>
      </c>
      <c r="L15">
        <f t="shared" si="0"/>
        <v>889.19999999999993</v>
      </c>
      <c r="M15">
        <v>4</v>
      </c>
      <c r="N15" s="3">
        <f t="shared" si="1"/>
        <v>3556.7999999999997</v>
      </c>
    </row>
    <row r="16" spans="1:14" x14ac:dyDescent="0.3">
      <c r="M16" s="2">
        <f>SUM(M2:M15)</f>
        <v>821</v>
      </c>
      <c r="N16" s="3"/>
    </row>
    <row r="17" spans="10:16" x14ac:dyDescent="0.3">
      <c r="N17" s="3"/>
    </row>
    <row r="18" spans="10:16" x14ac:dyDescent="0.3">
      <c r="M18" s="7" t="s">
        <v>31</v>
      </c>
      <c r="N18" s="8">
        <f>SUM(N2:N15)</f>
        <v>375585.6</v>
      </c>
    </row>
    <row r="19" spans="10:16" x14ac:dyDescent="0.3">
      <c r="M19" s="7" t="s">
        <v>32</v>
      </c>
      <c r="N19" s="8">
        <f>SUM(N18/+Gennemsnitmodellen!C18)</f>
        <v>56057.552238805962</v>
      </c>
      <c r="P19" s="3">
        <f>+N19-Gennemsnitmodellen!O19</f>
        <v>4903.5223880596968</v>
      </c>
    </row>
    <row r="20" spans="10:16" x14ac:dyDescent="0.3">
      <c r="M20" s="9" t="s">
        <v>61</v>
      </c>
      <c r="N20" s="10"/>
    </row>
    <row r="21" spans="10:16" x14ac:dyDescent="0.3">
      <c r="N21" s="3"/>
    </row>
    <row r="22" spans="10:16" x14ac:dyDescent="0.3">
      <c r="N22" s="3"/>
    </row>
    <row r="23" spans="10:16" x14ac:dyDescent="0.3">
      <c r="J23" t="s">
        <v>7</v>
      </c>
      <c r="N23" s="5">
        <f>+N2+N6</f>
        <v>95191.2</v>
      </c>
    </row>
    <row r="24" spans="10:16" x14ac:dyDescent="0.3">
      <c r="J24" t="s">
        <v>8</v>
      </c>
      <c r="N24" s="5">
        <f>+N4+N5+N7</f>
        <v>131835.6</v>
      </c>
    </row>
    <row r="25" spans="10:16" x14ac:dyDescent="0.3">
      <c r="J25" t="s">
        <v>9</v>
      </c>
      <c r="N25" s="5">
        <f>+N8+N9+N10</f>
        <v>42988.800000000003</v>
      </c>
    </row>
    <row r="26" spans="10:16" x14ac:dyDescent="0.3">
      <c r="J26" t="s">
        <v>10</v>
      </c>
      <c r="N26" s="5">
        <f>+N13+N14+N15+N11+N12</f>
        <v>105570</v>
      </c>
    </row>
    <row r="27" spans="10:16" x14ac:dyDescent="0.3">
      <c r="J27" t="s">
        <v>6</v>
      </c>
      <c r="N27" s="6">
        <f>SUM(N23:N26)</f>
        <v>375585.6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F15" sqref="F15"/>
    </sheetView>
  </sheetViews>
  <sheetFormatPr defaultRowHeight="14.4" x14ac:dyDescent="0.3"/>
  <sheetData>
    <row r="1" spans="1:14" x14ac:dyDescent="0.3">
      <c r="K1" t="s">
        <v>26</v>
      </c>
      <c r="L1" t="s">
        <v>25</v>
      </c>
      <c r="M1" t="s">
        <v>30</v>
      </c>
      <c r="N1" t="s">
        <v>28</v>
      </c>
    </row>
    <row r="2" spans="1:14" x14ac:dyDescent="0.3">
      <c r="A2" t="s">
        <v>34</v>
      </c>
      <c r="J2" t="s">
        <v>29</v>
      </c>
      <c r="K2">
        <v>351</v>
      </c>
      <c r="L2">
        <f t="shared" ref="L2:L15" si="0">SUM(K2*1.2)</f>
        <v>421.2</v>
      </c>
      <c r="M2">
        <v>188</v>
      </c>
      <c r="N2" s="3">
        <f t="shared" ref="N2:N15" si="1">SUM(L2*M2)</f>
        <v>79185.599999999991</v>
      </c>
    </row>
    <row r="3" spans="1:14" x14ac:dyDescent="0.3">
      <c r="A3" s="7" t="s">
        <v>36</v>
      </c>
      <c r="J3" t="s">
        <v>12</v>
      </c>
      <c r="K3">
        <v>428</v>
      </c>
      <c r="L3">
        <f t="shared" si="0"/>
        <v>513.6</v>
      </c>
      <c r="M3">
        <v>0</v>
      </c>
      <c r="N3" s="3">
        <f t="shared" si="1"/>
        <v>0</v>
      </c>
    </row>
    <row r="4" spans="1:14" x14ac:dyDescent="0.3">
      <c r="J4" t="s">
        <v>13</v>
      </c>
      <c r="K4">
        <v>351</v>
      </c>
      <c r="L4">
        <f t="shared" si="0"/>
        <v>421.2</v>
      </c>
      <c r="M4">
        <v>119</v>
      </c>
      <c r="N4" s="3">
        <f t="shared" si="1"/>
        <v>50122.799999999996</v>
      </c>
    </row>
    <row r="5" spans="1:14" x14ac:dyDescent="0.3">
      <c r="J5" t="s">
        <v>14</v>
      </c>
      <c r="K5">
        <v>428</v>
      </c>
      <c r="L5">
        <f t="shared" si="0"/>
        <v>513.6</v>
      </c>
      <c r="M5">
        <v>0</v>
      </c>
      <c r="N5" s="3">
        <f t="shared" si="1"/>
        <v>0</v>
      </c>
    </row>
    <row r="6" spans="1:14" x14ac:dyDescent="0.3">
      <c r="J6" t="s">
        <v>15</v>
      </c>
      <c r="K6">
        <v>351</v>
      </c>
      <c r="L6">
        <f t="shared" si="0"/>
        <v>421.2</v>
      </c>
      <c r="M6">
        <v>32</v>
      </c>
      <c r="N6" s="3">
        <f t="shared" si="1"/>
        <v>13478.4</v>
      </c>
    </row>
    <row r="7" spans="1:14" x14ac:dyDescent="0.3">
      <c r="J7" t="s">
        <v>16</v>
      </c>
      <c r="K7">
        <v>351</v>
      </c>
      <c r="L7">
        <f t="shared" si="0"/>
        <v>421.2</v>
      </c>
      <c r="M7">
        <v>32</v>
      </c>
      <c r="N7" s="3">
        <f t="shared" si="1"/>
        <v>13478.4</v>
      </c>
    </row>
    <row r="8" spans="1:14" x14ac:dyDescent="0.3">
      <c r="J8" t="s">
        <v>17</v>
      </c>
      <c r="K8">
        <v>428</v>
      </c>
      <c r="L8">
        <f t="shared" si="0"/>
        <v>513.6</v>
      </c>
      <c r="M8">
        <v>0</v>
      </c>
      <c r="N8" s="3">
        <f t="shared" si="1"/>
        <v>0</v>
      </c>
    </row>
    <row r="9" spans="1:14" x14ac:dyDescent="0.3">
      <c r="J9" t="s">
        <v>18</v>
      </c>
      <c r="K9">
        <v>428</v>
      </c>
      <c r="L9">
        <f t="shared" si="0"/>
        <v>513.6</v>
      </c>
      <c r="M9">
        <v>51</v>
      </c>
      <c r="N9" s="3">
        <f t="shared" si="1"/>
        <v>26193.600000000002</v>
      </c>
    </row>
    <row r="10" spans="1:14" x14ac:dyDescent="0.3">
      <c r="J10" t="s">
        <v>19</v>
      </c>
      <c r="K10">
        <v>741</v>
      </c>
      <c r="L10">
        <f t="shared" si="0"/>
        <v>889.19999999999993</v>
      </c>
      <c r="M10">
        <v>6</v>
      </c>
      <c r="N10" s="3">
        <f t="shared" si="1"/>
        <v>5335.2</v>
      </c>
    </row>
    <row r="11" spans="1:14" x14ac:dyDescent="0.3">
      <c r="J11" t="s">
        <v>20</v>
      </c>
      <c r="K11">
        <v>351</v>
      </c>
      <c r="L11">
        <f t="shared" si="0"/>
        <v>421.2</v>
      </c>
      <c r="M11">
        <v>23</v>
      </c>
      <c r="N11" s="3">
        <f t="shared" si="1"/>
        <v>9687.6</v>
      </c>
    </row>
    <row r="12" spans="1:14" x14ac:dyDescent="0.3">
      <c r="J12" t="s">
        <v>21</v>
      </c>
      <c r="K12">
        <v>351</v>
      </c>
      <c r="L12">
        <f t="shared" si="0"/>
        <v>421.2</v>
      </c>
      <c r="M12">
        <v>0</v>
      </c>
      <c r="N12" s="3">
        <f t="shared" si="1"/>
        <v>0</v>
      </c>
    </row>
    <row r="13" spans="1:14" x14ac:dyDescent="0.3">
      <c r="J13" t="s">
        <v>22</v>
      </c>
      <c r="K13">
        <v>351</v>
      </c>
      <c r="L13">
        <f t="shared" si="0"/>
        <v>421.2</v>
      </c>
      <c r="M13">
        <v>0</v>
      </c>
      <c r="N13" s="3">
        <f t="shared" si="1"/>
        <v>0</v>
      </c>
    </row>
    <row r="14" spans="1:14" x14ac:dyDescent="0.3">
      <c r="J14" t="s">
        <v>23</v>
      </c>
      <c r="K14">
        <v>428</v>
      </c>
      <c r="L14">
        <f t="shared" si="0"/>
        <v>513.6</v>
      </c>
      <c r="M14">
        <v>50</v>
      </c>
      <c r="N14" s="3">
        <f t="shared" si="1"/>
        <v>25680</v>
      </c>
    </row>
    <row r="15" spans="1:14" x14ac:dyDescent="0.3">
      <c r="J15" t="s">
        <v>24</v>
      </c>
      <c r="K15">
        <v>741</v>
      </c>
      <c r="L15">
        <f t="shared" si="0"/>
        <v>889.19999999999993</v>
      </c>
      <c r="M15">
        <v>0</v>
      </c>
      <c r="N15" s="3">
        <f t="shared" si="1"/>
        <v>0</v>
      </c>
    </row>
    <row r="16" spans="1:14" x14ac:dyDescent="0.3">
      <c r="M16">
        <f>SUM(M2:M15)</f>
        <v>501</v>
      </c>
      <c r="N16" s="3"/>
    </row>
    <row r="17" spans="10:14" x14ac:dyDescent="0.3">
      <c r="N17" s="3"/>
    </row>
    <row r="18" spans="10:14" x14ac:dyDescent="0.3">
      <c r="M18" s="7" t="s">
        <v>31</v>
      </c>
      <c r="N18" s="8">
        <f>SUM(N2:N15)</f>
        <v>223161.60000000001</v>
      </c>
    </row>
    <row r="19" spans="10:14" x14ac:dyDescent="0.3">
      <c r="M19" s="7" t="s">
        <v>32</v>
      </c>
      <c r="N19" s="8">
        <f>SUM(N18/5)</f>
        <v>44632.32</v>
      </c>
    </row>
    <row r="20" spans="10:14" x14ac:dyDescent="0.3">
      <c r="M20" s="9" t="s">
        <v>44</v>
      </c>
      <c r="N20" s="10"/>
    </row>
    <row r="21" spans="10:14" x14ac:dyDescent="0.3">
      <c r="N21" s="3"/>
    </row>
    <row r="22" spans="10:14" x14ac:dyDescent="0.3">
      <c r="N22" s="3"/>
    </row>
    <row r="23" spans="10:14" x14ac:dyDescent="0.3">
      <c r="J23" t="s">
        <v>7</v>
      </c>
      <c r="N23" s="5">
        <f>+N2+N6</f>
        <v>92663.999999999985</v>
      </c>
    </row>
    <row r="24" spans="10:14" x14ac:dyDescent="0.3">
      <c r="J24" t="s">
        <v>8</v>
      </c>
      <c r="N24" s="5">
        <f>+N4+N5+N7</f>
        <v>63601.2</v>
      </c>
    </row>
    <row r="25" spans="10:14" x14ac:dyDescent="0.3">
      <c r="J25" t="s">
        <v>9</v>
      </c>
      <c r="N25" s="5">
        <f>+N8+N9+N10</f>
        <v>31528.800000000003</v>
      </c>
    </row>
    <row r="26" spans="10:14" x14ac:dyDescent="0.3">
      <c r="J26" t="s">
        <v>10</v>
      </c>
      <c r="N26" s="5">
        <f>+N13+N14+N15+N11+N12</f>
        <v>35367.599999999999</v>
      </c>
    </row>
    <row r="27" spans="10:14" x14ac:dyDescent="0.3">
      <c r="J27" t="s">
        <v>6</v>
      </c>
      <c r="N27" s="6">
        <f>SUM(N23:N26)</f>
        <v>223161.60000000001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F13" sqref="F13"/>
    </sheetView>
  </sheetViews>
  <sheetFormatPr defaultRowHeight="14.4" x14ac:dyDescent="0.3"/>
  <sheetData>
    <row r="1" spans="1:14" x14ac:dyDescent="0.3">
      <c r="A1" t="s">
        <v>35</v>
      </c>
      <c r="K1" t="s">
        <v>26</v>
      </c>
      <c r="L1" t="s">
        <v>25</v>
      </c>
      <c r="M1" t="s">
        <v>30</v>
      </c>
      <c r="N1" t="s">
        <v>28</v>
      </c>
    </row>
    <row r="2" spans="1:14" x14ac:dyDescent="0.3">
      <c r="J2" t="s">
        <v>29</v>
      </c>
      <c r="K2">
        <v>351</v>
      </c>
      <c r="L2">
        <f t="shared" ref="L2:L15" si="0">SUM(K2*1.2)</f>
        <v>421.2</v>
      </c>
      <c r="M2">
        <v>292</v>
      </c>
      <c r="N2" s="3">
        <f t="shared" ref="N2:N15" si="1">SUM(L2*M2)</f>
        <v>122990.39999999999</v>
      </c>
    </row>
    <row r="3" spans="1:14" x14ac:dyDescent="0.3">
      <c r="A3" s="7" t="s">
        <v>37</v>
      </c>
      <c r="J3" t="s">
        <v>12</v>
      </c>
      <c r="K3">
        <v>428</v>
      </c>
      <c r="L3">
        <f t="shared" si="0"/>
        <v>513.6</v>
      </c>
      <c r="M3">
        <v>0</v>
      </c>
      <c r="N3" s="3">
        <f t="shared" si="1"/>
        <v>0</v>
      </c>
    </row>
    <row r="4" spans="1:14" x14ac:dyDescent="0.3">
      <c r="J4" t="s">
        <v>13</v>
      </c>
      <c r="K4">
        <v>351</v>
      </c>
      <c r="L4">
        <f t="shared" si="0"/>
        <v>421.2</v>
      </c>
      <c r="M4">
        <v>104</v>
      </c>
      <c r="N4" s="3">
        <f t="shared" si="1"/>
        <v>43804.799999999996</v>
      </c>
    </row>
    <row r="5" spans="1:14" x14ac:dyDescent="0.3">
      <c r="J5" t="s">
        <v>14</v>
      </c>
      <c r="K5">
        <v>428</v>
      </c>
      <c r="L5">
        <f t="shared" si="0"/>
        <v>513.6</v>
      </c>
      <c r="M5">
        <v>0</v>
      </c>
      <c r="N5" s="3">
        <f t="shared" si="1"/>
        <v>0</v>
      </c>
    </row>
    <row r="6" spans="1:14" x14ac:dyDescent="0.3">
      <c r="J6" t="s">
        <v>15</v>
      </c>
      <c r="K6">
        <v>351</v>
      </c>
      <c r="L6">
        <f t="shared" si="0"/>
        <v>421.2</v>
      </c>
      <c r="M6">
        <v>18</v>
      </c>
      <c r="N6" s="3">
        <f t="shared" si="1"/>
        <v>7581.5999999999995</v>
      </c>
    </row>
    <row r="7" spans="1:14" x14ac:dyDescent="0.3">
      <c r="J7" t="s">
        <v>16</v>
      </c>
      <c r="K7">
        <v>351</v>
      </c>
      <c r="L7">
        <f t="shared" si="0"/>
        <v>421.2</v>
      </c>
      <c r="M7">
        <v>212</v>
      </c>
      <c r="N7" s="3">
        <f t="shared" si="1"/>
        <v>89294.399999999994</v>
      </c>
    </row>
    <row r="8" spans="1:14" x14ac:dyDescent="0.3">
      <c r="J8" t="s">
        <v>17</v>
      </c>
      <c r="K8">
        <v>428</v>
      </c>
      <c r="L8">
        <f t="shared" si="0"/>
        <v>513.6</v>
      </c>
      <c r="M8">
        <v>4</v>
      </c>
      <c r="N8" s="3">
        <f t="shared" si="1"/>
        <v>2054.4</v>
      </c>
    </row>
    <row r="9" spans="1:14" x14ac:dyDescent="0.3">
      <c r="J9" t="s">
        <v>18</v>
      </c>
      <c r="K9">
        <v>428</v>
      </c>
      <c r="L9">
        <f t="shared" si="0"/>
        <v>513.6</v>
      </c>
      <c r="M9">
        <v>41</v>
      </c>
      <c r="N9" s="3">
        <f t="shared" si="1"/>
        <v>21057.600000000002</v>
      </c>
    </row>
    <row r="10" spans="1:14" x14ac:dyDescent="0.3">
      <c r="J10" t="s">
        <v>19</v>
      </c>
      <c r="K10">
        <v>741</v>
      </c>
      <c r="L10">
        <f t="shared" si="0"/>
        <v>889.19999999999993</v>
      </c>
      <c r="M10">
        <v>24</v>
      </c>
      <c r="N10" s="3">
        <f t="shared" si="1"/>
        <v>21340.799999999999</v>
      </c>
    </row>
    <row r="11" spans="1:14" x14ac:dyDescent="0.3">
      <c r="J11" t="s">
        <v>20</v>
      </c>
      <c r="K11">
        <v>351</v>
      </c>
      <c r="L11">
        <f t="shared" si="0"/>
        <v>421.2</v>
      </c>
      <c r="M11">
        <v>11</v>
      </c>
      <c r="N11" s="3">
        <f t="shared" si="1"/>
        <v>4633.2</v>
      </c>
    </row>
    <row r="12" spans="1:14" x14ac:dyDescent="0.3">
      <c r="J12" t="s">
        <v>21</v>
      </c>
      <c r="K12">
        <v>351</v>
      </c>
      <c r="L12">
        <f t="shared" si="0"/>
        <v>421.2</v>
      </c>
      <c r="M12">
        <v>20</v>
      </c>
      <c r="N12" s="3">
        <f t="shared" si="1"/>
        <v>8424</v>
      </c>
    </row>
    <row r="13" spans="1:14" x14ac:dyDescent="0.3">
      <c r="J13" t="s">
        <v>22</v>
      </c>
      <c r="K13">
        <v>351</v>
      </c>
      <c r="L13">
        <f t="shared" si="0"/>
        <v>421.2</v>
      </c>
      <c r="M13">
        <v>10</v>
      </c>
      <c r="N13" s="3">
        <f t="shared" si="1"/>
        <v>4212</v>
      </c>
    </row>
    <row r="14" spans="1:14" x14ac:dyDescent="0.3">
      <c r="J14" t="s">
        <v>23</v>
      </c>
      <c r="K14">
        <v>428</v>
      </c>
      <c r="L14">
        <f t="shared" si="0"/>
        <v>513.6</v>
      </c>
      <c r="M14">
        <v>250</v>
      </c>
      <c r="N14" s="3">
        <f t="shared" si="1"/>
        <v>128400</v>
      </c>
    </row>
    <row r="15" spans="1:14" x14ac:dyDescent="0.3">
      <c r="J15" t="s">
        <v>24</v>
      </c>
      <c r="K15">
        <v>741</v>
      </c>
      <c r="L15">
        <f t="shared" si="0"/>
        <v>889.19999999999993</v>
      </c>
      <c r="M15">
        <v>0</v>
      </c>
      <c r="N15" s="3">
        <f t="shared" si="1"/>
        <v>0</v>
      </c>
    </row>
    <row r="16" spans="1:14" x14ac:dyDescent="0.3">
      <c r="M16">
        <f>SUM(M2:M15)</f>
        <v>986</v>
      </c>
      <c r="N16" s="3"/>
    </row>
    <row r="17" spans="10:14" x14ac:dyDescent="0.3">
      <c r="N17" s="3"/>
    </row>
    <row r="18" spans="10:14" x14ac:dyDescent="0.3">
      <c r="M18" s="7" t="s">
        <v>31</v>
      </c>
      <c r="N18" s="8">
        <f>SUM(N2:N15)</f>
        <v>453793.19999999995</v>
      </c>
    </row>
    <row r="19" spans="10:14" x14ac:dyDescent="0.3">
      <c r="M19" s="7" t="s">
        <v>32</v>
      </c>
      <c r="N19" s="8">
        <f>SUM(N18/8)</f>
        <v>56724.149999999994</v>
      </c>
    </row>
    <row r="20" spans="10:14" x14ac:dyDescent="0.3">
      <c r="M20" s="9" t="s">
        <v>45</v>
      </c>
      <c r="N20" s="10"/>
    </row>
    <row r="21" spans="10:14" x14ac:dyDescent="0.3">
      <c r="N21" s="3"/>
    </row>
    <row r="22" spans="10:14" x14ac:dyDescent="0.3">
      <c r="N22" s="3"/>
    </row>
    <row r="23" spans="10:14" x14ac:dyDescent="0.3">
      <c r="J23" t="s">
        <v>7</v>
      </c>
      <c r="N23" s="5">
        <f>+N2+N6</f>
        <v>130572</v>
      </c>
    </row>
    <row r="24" spans="10:14" x14ac:dyDescent="0.3">
      <c r="J24" t="s">
        <v>8</v>
      </c>
      <c r="N24" s="5">
        <f>+N4+N5+N7</f>
        <v>133099.19999999998</v>
      </c>
    </row>
    <row r="25" spans="10:14" x14ac:dyDescent="0.3">
      <c r="J25" t="s">
        <v>9</v>
      </c>
      <c r="N25" s="5">
        <f>+N8+N9+N10</f>
        <v>44452.800000000003</v>
      </c>
    </row>
    <row r="26" spans="10:14" x14ac:dyDescent="0.3">
      <c r="J26" t="s">
        <v>10</v>
      </c>
      <c r="N26" s="5">
        <f>+N13+N14+N15+N11+N12</f>
        <v>145669.20000000001</v>
      </c>
    </row>
    <row r="27" spans="10:14" x14ac:dyDescent="0.3">
      <c r="J27" t="s">
        <v>6</v>
      </c>
      <c r="N27" s="6">
        <f>SUM(N23:N26)</f>
        <v>453793.19999999995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C26" sqref="C26"/>
    </sheetView>
  </sheetViews>
  <sheetFormatPr defaultRowHeight="14.4" x14ac:dyDescent="0.3"/>
  <sheetData>
    <row r="1" spans="1:16" x14ac:dyDescent="0.3">
      <c r="A1" s="7" t="s">
        <v>38</v>
      </c>
      <c r="B1" s="9"/>
      <c r="K1" t="s">
        <v>26</v>
      </c>
      <c r="L1" t="s">
        <v>25</v>
      </c>
      <c r="M1" t="s">
        <v>30</v>
      </c>
      <c r="N1" t="s">
        <v>28</v>
      </c>
    </row>
    <row r="2" spans="1:16" x14ac:dyDescent="0.3">
      <c r="J2" t="s">
        <v>29</v>
      </c>
      <c r="K2">
        <v>351</v>
      </c>
      <c r="L2">
        <f t="shared" ref="L2:L15" si="0">SUM(K2*1.2)</f>
        <v>421.2</v>
      </c>
      <c r="M2">
        <v>187</v>
      </c>
      <c r="N2" s="3">
        <f t="shared" ref="N2:N15" si="1">SUM(L2*M2)</f>
        <v>78764.399999999994</v>
      </c>
    </row>
    <row r="3" spans="1:16" x14ac:dyDescent="0.3">
      <c r="A3" t="s">
        <v>62</v>
      </c>
      <c r="J3" t="s">
        <v>12</v>
      </c>
      <c r="K3">
        <v>428</v>
      </c>
      <c r="L3">
        <f t="shared" si="0"/>
        <v>513.6</v>
      </c>
      <c r="M3">
        <v>0</v>
      </c>
      <c r="N3" s="3">
        <f t="shared" si="1"/>
        <v>0</v>
      </c>
    </row>
    <row r="4" spans="1:16" x14ac:dyDescent="0.3">
      <c r="J4" t="s">
        <v>13</v>
      </c>
      <c r="K4">
        <v>351</v>
      </c>
      <c r="L4">
        <f t="shared" si="0"/>
        <v>421.2</v>
      </c>
      <c r="M4">
        <f>153-26</f>
        <v>127</v>
      </c>
      <c r="N4" s="3">
        <f t="shared" si="1"/>
        <v>53492.4</v>
      </c>
    </row>
    <row r="5" spans="1:16" x14ac:dyDescent="0.3">
      <c r="J5" t="s">
        <v>14</v>
      </c>
      <c r="K5">
        <v>428</v>
      </c>
      <c r="L5">
        <f t="shared" si="0"/>
        <v>513.6</v>
      </c>
      <c r="M5">
        <v>0</v>
      </c>
      <c r="N5" s="3">
        <f t="shared" si="1"/>
        <v>0</v>
      </c>
    </row>
    <row r="6" spans="1:16" x14ac:dyDescent="0.3">
      <c r="J6" t="s">
        <v>15</v>
      </c>
      <c r="K6">
        <v>351</v>
      </c>
      <c r="L6">
        <f t="shared" si="0"/>
        <v>421.2</v>
      </c>
      <c r="M6">
        <v>39</v>
      </c>
      <c r="N6" s="3">
        <f t="shared" si="1"/>
        <v>16426.8</v>
      </c>
    </row>
    <row r="7" spans="1:16" x14ac:dyDescent="0.3">
      <c r="J7" t="s">
        <v>16</v>
      </c>
      <c r="K7">
        <v>351</v>
      </c>
      <c r="L7">
        <f t="shared" si="0"/>
        <v>421.2</v>
      </c>
      <c r="M7">
        <v>108</v>
      </c>
      <c r="N7" s="3">
        <f t="shared" si="1"/>
        <v>45489.599999999999</v>
      </c>
    </row>
    <row r="8" spans="1:16" x14ac:dyDescent="0.3">
      <c r="J8" t="s">
        <v>17</v>
      </c>
      <c r="K8">
        <v>428</v>
      </c>
      <c r="L8">
        <f t="shared" si="0"/>
        <v>513.6</v>
      </c>
      <c r="M8">
        <v>4</v>
      </c>
      <c r="N8" s="3">
        <f t="shared" si="1"/>
        <v>2054.4</v>
      </c>
    </row>
    <row r="9" spans="1:16" x14ac:dyDescent="0.3">
      <c r="J9" t="s">
        <v>18</v>
      </c>
      <c r="K9">
        <v>428</v>
      </c>
      <c r="L9">
        <f t="shared" si="0"/>
        <v>513.6</v>
      </c>
      <c r="M9">
        <v>52</v>
      </c>
      <c r="N9" s="3">
        <f t="shared" si="1"/>
        <v>26707.200000000001</v>
      </c>
    </row>
    <row r="10" spans="1:16" x14ac:dyDescent="0.3">
      <c r="J10" t="s">
        <v>19</v>
      </c>
      <c r="K10">
        <v>741</v>
      </c>
      <c r="L10">
        <f t="shared" si="0"/>
        <v>889.19999999999993</v>
      </c>
      <c r="M10">
        <v>16</v>
      </c>
      <c r="N10" s="3">
        <f t="shared" si="1"/>
        <v>14227.199999999999</v>
      </c>
    </row>
    <row r="11" spans="1:16" x14ac:dyDescent="0.3">
      <c r="J11" t="s">
        <v>20</v>
      </c>
      <c r="K11">
        <v>351</v>
      </c>
      <c r="L11">
        <f t="shared" si="0"/>
        <v>421.2</v>
      </c>
      <c r="M11">
        <v>21</v>
      </c>
      <c r="N11" s="3">
        <f t="shared" si="1"/>
        <v>8845.1999999999989</v>
      </c>
    </row>
    <row r="12" spans="1:16" x14ac:dyDescent="0.3">
      <c r="J12" t="s">
        <v>21</v>
      </c>
      <c r="K12">
        <v>351</v>
      </c>
      <c r="L12">
        <f t="shared" si="0"/>
        <v>421.2</v>
      </c>
      <c r="M12">
        <v>14</v>
      </c>
      <c r="N12" s="3">
        <f t="shared" si="1"/>
        <v>5896.8</v>
      </c>
    </row>
    <row r="13" spans="1:16" x14ac:dyDescent="0.3">
      <c r="J13" t="s">
        <v>22</v>
      </c>
      <c r="K13">
        <v>351</v>
      </c>
      <c r="L13">
        <f t="shared" si="0"/>
        <v>421.2</v>
      </c>
      <c r="M13">
        <v>6</v>
      </c>
      <c r="N13" s="3">
        <f t="shared" si="1"/>
        <v>2527.1999999999998</v>
      </c>
    </row>
    <row r="14" spans="1:16" x14ac:dyDescent="0.3">
      <c r="J14" t="s">
        <v>23</v>
      </c>
      <c r="K14">
        <v>428</v>
      </c>
      <c r="L14">
        <f t="shared" si="0"/>
        <v>513.6</v>
      </c>
      <c r="M14" s="9">
        <v>50</v>
      </c>
      <c r="N14" s="3">
        <f t="shared" si="1"/>
        <v>25680</v>
      </c>
      <c r="P14" t="s">
        <v>41</v>
      </c>
    </row>
    <row r="15" spans="1:16" x14ac:dyDescent="0.3">
      <c r="J15" t="s">
        <v>24</v>
      </c>
      <c r="K15">
        <v>741</v>
      </c>
      <c r="L15">
        <f t="shared" si="0"/>
        <v>889.19999999999993</v>
      </c>
      <c r="M15">
        <v>4</v>
      </c>
      <c r="N15" s="3">
        <f t="shared" si="1"/>
        <v>3556.7999999999997</v>
      </c>
    </row>
    <row r="16" spans="1:16" x14ac:dyDescent="0.3">
      <c r="M16">
        <f>SUM(M2:M15)</f>
        <v>628</v>
      </c>
      <c r="N16" s="3"/>
    </row>
    <row r="17" spans="10:14" x14ac:dyDescent="0.3">
      <c r="N17" s="3"/>
    </row>
    <row r="18" spans="10:14" x14ac:dyDescent="0.3">
      <c r="M18" s="7" t="s">
        <v>31</v>
      </c>
      <c r="N18" s="8">
        <f>SUM(N2:N15)</f>
        <v>283668</v>
      </c>
    </row>
    <row r="19" spans="10:14" x14ac:dyDescent="0.3">
      <c r="M19" s="7" t="s">
        <v>32</v>
      </c>
      <c r="N19" s="8">
        <f>SUM(N18/Gennemsnitmodellen!$C$18)</f>
        <v>42338.507462686568</v>
      </c>
    </row>
    <row r="20" spans="10:14" x14ac:dyDescent="0.3">
      <c r="M20" s="9" t="s">
        <v>49</v>
      </c>
      <c r="N20" s="10"/>
    </row>
    <row r="21" spans="10:14" x14ac:dyDescent="0.3">
      <c r="N21" s="3"/>
    </row>
    <row r="22" spans="10:14" x14ac:dyDescent="0.3">
      <c r="N22" s="3"/>
    </row>
    <row r="23" spans="10:14" x14ac:dyDescent="0.3">
      <c r="J23" t="s">
        <v>7</v>
      </c>
      <c r="N23" s="5">
        <f>+N2+N6</f>
        <v>95191.2</v>
      </c>
    </row>
    <row r="24" spans="10:14" x14ac:dyDescent="0.3">
      <c r="J24" t="s">
        <v>8</v>
      </c>
      <c r="N24" s="5">
        <f>+N4+N5+N7</f>
        <v>98982</v>
      </c>
    </row>
    <row r="25" spans="10:14" x14ac:dyDescent="0.3">
      <c r="J25" t="s">
        <v>9</v>
      </c>
      <c r="N25" s="5">
        <f>+N8+N9+N10</f>
        <v>42988.800000000003</v>
      </c>
    </row>
    <row r="26" spans="10:14" x14ac:dyDescent="0.3">
      <c r="J26" t="s">
        <v>10</v>
      </c>
      <c r="N26" s="5">
        <f>+N13+N14+N15+N11+N12</f>
        <v>46506</v>
      </c>
    </row>
    <row r="27" spans="10:14" x14ac:dyDescent="0.3">
      <c r="J27" t="s">
        <v>6</v>
      </c>
      <c r="N27" s="6">
        <f>SUM(N23:N26)</f>
        <v>283668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I22" sqref="I22"/>
    </sheetView>
  </sheetViews>
  <sheetFormatPr defaultRowHeight="14.4" x14ac:dyDescent="0.3"/>
  <sheetData>
    <row r="1" spans="1:17" x14ac:dyDescent="0.3">
      <c r="A1" s="7" t="s">
        <v>39</v>
      </c>
      <c r="B1" s="7"/>
      <c r="K1" t="s">
        <v>26</v>
      </c>
      <c r="L1" t="s">
        <v>25</v>
      </c>
      <c r="M1" t="s">
        <v>30</v>
      </c>
      <c r="N1" t="s">
        <v>28</v>
      </c>
    </row>
    <row r="2" spans="1:17" x14ac:dyDescent="0.3">
      <c r="J2" t="s">
        <v>29</v>
      </c>
      <c r="K2">
        <v>351</v>
      </c>
      <c r="L2">
        <f t="shared" ref="L2:L15" si="0">SUM(K2*1.2)</f>
        <v>421.2</v>
      </c>
      <c r="M2" s="9">
        <v>283</v>
      </c>
      <c r="N2" s="3">
        <f t="shared" ref="N2:N15" si="1">SUM(L2*M2)</f>
        <v>119199.59999999999</v>
      </c>
      <c r="P2">
        <f>187/6.6</f>
        <v>28.333333333333336</v>
      </c>
      <c r="Q2" t="s">
        <v>40</v>
      </c>
    </row>
    <row r="3" spans="1:17" x14ac:dyDescent="0.3">
      <c r="A3" t="s">
        <v>63</v>
      </c>
      <c r="J3" t="s">
        <v>12</v>
      </c>
      <c r="K3">
        <v>428</v>
      </c>
      <c r="L3">
        <f t="shared" si="0"/>
        <v>513.6</v>
      </c>
      <c r="M3">
        <v>0</v>
      </c>
      <c r="N3" s="3">
        <f t="shared" si="1"/>
        <v>0</v>
      </c>
    </row>
    <row r="4" spans="1:17" x14ac:dyDescent="0.3">
      <c r="J4" t="s">
        <v>13</v>
      </c>
      <c r="K4">
        <v>351</v>
      </c>
      <c r="L4">
        <f t="shared" si="0"/>
        <v>421.2</v>
      </c>
      <c r="M4">
        <f>153-26</f>
        <v>127</v>
      </c>
      <c r="N4" s="3">
        <f t="shared" si="1"/>
        <v>53492.4</v>
      </c>
    </row>
    <row r="5" spans="1:17" x14ac:dyDescent="0.3">
      <c r="J5" t="s">
        <v>14</v>
      </c>
      <c r="K5">
        <v>428</v>
      </c>
      <c r="L5">
        <f t="shared" si="0"/>
        <v>513.6</v>
      </c>
      <c r="M5">
        <v>0</v>
      </c>
      <c r="N5" s="3">
        <f t="shared" si="1"/>
        <v>0</v>
      </c>
    </row>
    <row r="6" spans="1:17" x14ac:dyDescent="0.3">
      <c r="J6" t="s">
        <v>15</v>
      </c>
      <c r="K6">
        <v>351</v>
      </c>
      <c r="L6">
        <f t="shared" si="0"/>
        <v>421.2</v>
      </c>
      <c r="M6" s="9">
        <v>59</v>
      </c>
      <c r="N6" s="3">
        <f t="shared" si="1"/>
        <v>24850.799999999999</v>
      </c>
      <c r="P6">
        <f>39/6.6</f>
        <v>5.9090909090909092</v>
      </c>
    </row>
    <row r="7" spans="1:17" x14ac:dyDescent="0.3">
      <c r="J7" t="s">
        <v>16</v>
      </c>
      <c r="K7">
        <v>351</v>
      </c>
      <c r="L7">
        <f t="shared" si="0"/>
        <v>421.2</v>
      </c>
      <c r="M7">
        <v>108</v>
      </c>
      <c r="N7" s="3">
        <f t="shared" si="1"/>
        <v>45489.599999999999</v>
      </c>
    </row>
    <row r="8" spans="1:17" x14ac:dyDescent="0.3">
      <c r="J8" t="s">
        <v>17</v>
      </c>
      <c r="K8">
        <v>428</v>
      </c>
      <c r="L8">
        <f t="shared" si="0"/>
        <v>513.6</v>
      </c>
      <c r="M8">
        <v>4</v>
      </c>
      <c r="N8" s="3">
        <f t="shared" si="1"/>
        <v>2054.4</v>
      </c>
    </row>
    <row r="9" spans="1:17" x14ac:dyDescent="0.3">
      <c r="J9" t="s">
        <v>18</v>
      </c>
      <c r="K9">
        <v>428</v>
      </c>
      <c r="L9">
        <f t="shared" si="0"/>
        <v>513.6</v>
      </c>
      <c r="M9">
        <v>52</v>
      </c>
      <c r="N9" s="3">
        <f t="shared" si="1"/>
        <v>26707.200000000001</v>
      </c>
    </row>
    <row r="10" spans="1:17" x14ac:dyDescent="0.3">
      <c r="J10" t="s">
        <v>19</v>
      </c>
      <c r="K10">
        <v>741</v>
      </c>
      <c r="L10">
        <f t="shared" si="0"/>
        <v>889.19999999999993</v>
      </c>
      <c r="M10">
        <v>16</v>
      </c>
      <c r="N10" s="3">
        <f t="shared" si="1"/>
        <v>14227.199999999999</v>
      </c>
    </row>
    <row r="11" spans="1:17" x14ac:dyDescent="0.3">
      <c r="J11" t="s">
        <v>20</v>
      </c>
      <c r="K11">
        <v>351</v>
      </c>
      <c r="L11">
        <f t="shared" si="0"/>
        <v>421.2</v>
      </c>
      <c r="M11" s="9">
        <v>32</v>
      </c>
      <c r="N11" s="3">
        <f t="shared" si="1"/>
        <v>13478.4</v>
      </c>
      <c r="P11">
        <f>21/6.6</f>
        <v>3.1818181818181821</v>
      </c>
    </row>
    <row r="12" spans="1:17" x14ac:dyDescent="0.3">
      <c r="J12" t="s">
        <v>21</v>
      </c>
      <c r="K12">
        <v>351</v>
      </c>
      <c r="L12">
        <f t="shared" si="0"/>
        <v>421.2</v>
      </c>
      <c r="M12">
        <v>14</v>
      </c>
      <c r="N12" s="3">
        <f t="shared" si="1"/>
        <v>5896.8</v>
      </c>
    </row>
    <row r="13" spans="1:17" x14ac:dyDescent="0.3">
      <c r="J13" t="s">
        <v>22</v>
      </c>
      <c r="K13">
        <v>351</v>
      </c>
      <c r="L13">
        <f t="shared" si="0"/>
        <v>421.2</v>
      </c>
      <c r="M13">
        <v>6</v>
      </c>
      <c r="N13" s="3">
        <f t="shared" si="1"/>
        <v>2527.1999999999998</v>
      </c>
    </row>
    <row r="14" spans="1:17" x14ac:dyDescent="0.3">
      <c r="J14" t="s">
        <v>23</v>
      </c>
      <c r="K14">
        <v>428</v>
      </c>
      <c r="L14">
        <f t="shared" si="0"/>
        <v>513.6</v>
      </c>
      <c r="M14">
        <v>165</v>
      </c>
      <c r="N14" s="3">
        <f t="shared" si="1"/>
        <v>84744</v>
      </c>
    </row>
    <row r="15" spans="1:17" x14ac:dyDescent="0.3">
      <c r="J15" t="s">
        <v>24</v>
      </c>
      <c r="K15">
        <v>741</v>
      </c>
      <c r="L15">
        <f t="shared" si="0"/>
        <v>889.19999999999993</v>
      </c>
      <c r="M15">
        <v>4</v>
      </c>
      <c r="N15" s="3">
        <f t="shared" si="1"/>
        <v>3556.7999999999997</v>
      </c>
    </row>
    <row r="16" spans="1:17" x14ac:dyDescent="0.3">
      <c r="M16">
        <f>SUM(M2:M15)</f>
        <v>870</v>
      </c>
      <c r="N16" s="3"/>
    </row>
    <row r="17" spans="11:15" x14ac:dyDescent="0.3">
      <c r="N17" s="3"/>
    </row>
    <row r="18" spans="11:15" x14ac:dyDescent="0.3">
      <c r="M18" s="7" t="s">
        <v>31</v>
      </c>
      <c r="N18" s="8">
        <f>SUM(N2:N15)</f>
        <v>396224.4</v>
      </c>
    </row>
    <row r="19" spans="11:15" x14ac:dyDescent="0.3">
      <c r="M19" s="7" t="s">
        <v>32</v>
      </c>
      <c r="N19" s="8">
        <f>SUM(N18/10)</f>
        <v>39622.44</v>
      </c>
    </row>
    <row r="20" spans="11:15" x14ac:dyDescent="0.3">
      <c r="M20" s="9" t="s">
        <v>46</v>
      </c>
      <c r="N20" s="10"/>
    </row>
    <row r="21" spans="11:15" x14ac:dyDescent="0.3">
      <c r="N21" s="3"/>
    </row>
    <row r="24" spans="11:15" x14ac:dyDescent="0.3">
      <c r="O24" s="3"/>
    </row>
    <row r="25" spans="11:15" x14ac:dyDescent="0.3">
      <c r="K25" t="s">
        <v>7</v>
      </c>
      <c r="O25" s="5">
        <f>+'Følsomhedsanalyse 2'!N2+'Følsomhedsanalyse 2'!N6</f>
        <v>144050.4</v>
      </c>
    </row>
    <row r="26" spans="11:15" x14ac:dyDescent="0.3">
      <c r="K26" t="s">
        <v>8</v>
      </c>
      <c r="O26" s="5">
        <f>+'Følsomhedsanalyse 2'!N4+'Følsomhedsanalyse 2'!N5+'Følsomhedsanalyse 2'!N7</f>
        <v>98982</v>
      </c>
    </row>
    <row r="27" spans="11:15" x14ac:dyDescent="0.3">
      <c r="K27" t="s">
        <v>9</v>
      </c>
      <c r="O27" s="5">
        <f>+'Følsomhedsanalyse 2'!N8+'Følsomhedsanalyse 2'!N9+'Følsomhedsanalyse 2'!N10</f>
        <v>42988.800000000003</v>
      </c>
    </row>
    <row r="28" spans="11:15" x14ac:dyDescent="0.3">
      <c r="K28" t="s">
        <v>10</v>
      </c>
      <c r="O28" s="5">
        <f>+'Følsomhedsanalyse 2'!N13+'Følsomhedsanalyse 2'!N14+'Følsomhedsanalyse 2'!N15+'Følsomhedsanalyse 2'!N11+'Følsomhedsanalyse 2'!N12</f>
        <v>110203.2</v>
      </c>
    </row>
    <row r="29" spans="11:15" x14ac:dyDescent="0.3">
      <c r="K29" t="s">
        <v>6</v>
      </c>
      <c r="O29" s="6">
        <f>SUM(O25:O28)</f>
        <v>396224.4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D7" sqref="D7"/>
    </sheetView>
  </sheetViews>
  <sheetFormatPr defaultRowHeight="14.4" x14ac:dyDescent="0.3"/>
  <sheetData>
    <row r="1" spans="1:14" x14ac:dyDescent="0.3">
      <c r="A1" s="7" t="s">
        <v>42</v>
      </c>
      <c r="B1" s="7"/>
      <c r="C1" s="7"/>
      <c r="D1" s="7"/>
      <c r="K1" t="s">
        <v>26</v>
      </c>
      <c r="L1" t="s">
        <v>25</v>
      </c>
      <c r="M1" t="s">
        <v>30</v>
      </c>
      <c r="N1" t="s">
        <v>28</v>
      </c>
    </row>
    <row r="2" spans="1:14" x14ac:dyDescent="0.3">
      <c r="J2" t="s">
        <v>29</v>
      </c>
      <c r="K2">
        <v>351</v>
      </c>
      <c r="L2">
        <f t="shared" ref="L2:L15" si="0">SUM(K2*1.2)</f>
        <v>421.2</v>
      </c>
      <c r="M2" s="9">
        <v>283</v>
      </c>
      <c r="N2" s="3">
        <f t="shared" ref="N2:N15" si="1">SUM(L2*M2)</f>
        <v>119199.59999999999</v>
      </c>
    </row>
    <row r="3" spans="1:14" x14ac:dyDescent="0.3">
      <c r="A3" t="s">
        <v>64</v>
      </c>
      <c r="J3" t="s">
        <v>12</v>
      </c>
      <c r="K3">
        <v>428</v>
      </c>
      <c r="L3">
        <f t="shared" si="0"/>
        <v>513.6</v>
      </c>
      <c r="M3">
        <v>0</v>
      </c>
      <c r="N3" s="3">
        <f t="shared" si="1"/>
        <v>0</v>
      </c>
    </row>
    <row r="4" spans="1:14" x14ac:dyDescent="0.3">
      <c r="J4" t="s">
        <v>13</v>
      </c>
      <c r="K4">
        <v>351</v>
      </c>
      <c r="L4">
        <f t="shared" si="0"/>
        <v>421.2</v>
      </c>
      <c r="M4">
        <f>153-26</f>
        <v>127</v>
      </c>
      <c r="N4" s="3">
        <f t="shared" si="1"/>
        <v>53492.4</v>
      </c>
    </row>
    <row r="5" spans="1:14" x14ac:dyDescent="0.3">
      <c r="J5" t="s">
        <v>14</v>
      </c>
      <c r="K5">
        <v>428</v>
      </c>
      <c r="L5">
        <f t="shared" si="0"/>
        <v>513.6</v>
      </c>
      <c r="M5">
        <v>0</v>
      </c>
      <c r="N5" s="3">
        <f t="shared" si="1"/>
        <v>0</v>
      </c>
    </row>
    <row r="6" spans="1:14" x14ac:dyDescent="0.3">
      <c r="J6" t="s">
        <v>15</v>
      </c>
      <c r="K6">
        <v>351</v>
      </c>
      <c r="L6">
        <f t="shared" si="0"/>
        <v>421.2</v>
      </c>
      <c r="M6" s="9">
        <v>59</v>
      </c>
      <c r="N6" s="3">
        <f t="shared" si="1"/>
        <v>24850.799999999999</v>
      </c>
    </row>
    <row r="7" spans="1:14" x14ac:dyDescent="0.3">
      <c r="J7" t="s">
        <v>16</v>
      </c>
      <c r="K7">
        <v>351</v>
      </c>
      <c r="L7">
        <f t="shared" si="0"/>
        <v>421.2</v>
      </c>
      <c r="M7">
        <v>108</v>
      </c>
      <c r="N7" s="3">
        <f t="shared" si="1"/>
        <v>45489.599999999999</v>
      </c>
    </row>
    <row r="8" spans="1:14" x14ac:dyDescent="0.3">
      <c r="J8" t="s">
        <v>17</v>
      </c>
      <c r="K8">
        <v>428</v>
      </c>
      <c r="L8">
        <f t="shared" si="0"/>
        <v>513.6</v>
      </c>
      <c r="M8">
        <v>4</v>
      </c>
      <c r="N8" s="3">
        <f t="shared" si="1"/>
        <v>2054.4</v>
      </c>
    </row>
    <row r="9" spans="1:14" x14ac:dyDescent="0.3">
      <c r="J9" t="s">
        <v>18</v>
      </c>
      <c r="K9">
        <v>428</v>
      </c>
      <c r="L9">
        <f t="shared" si="0"/>
        <v>513.6</v>
      </c>
      <c r="M9">
        <v>52</v>
      </c>
      <c r="N9" s="3">
        <f t="shared" si="1"/>
        <v>26707.200000000001</v>
      </c>
    </row>
    <row r="10" spans="1:14" x14ac:dyDescent="0.3">
      <c r="J10" t="s">
        <v>19</v>
      </c>
      <c r="K10">
        <v>741</v>
      </c>
      <c r="L10">
        <f t="shared" si="0"/>
        <v>889.19999999999993</v>
      </c>
      <c r="M10">
        <v>16</v>
      </c>
      <c r="N10" s="3">
        <f t="shared" si="1"/>
        <v>14227.199999999999</v>
      </c>
    </row>
    <row r="11" spans="1:14" x14ac:dyDescent="0.3">
      <c r="J11" t="s">
        <v>20</v>
      </c>
      <c r="K11">
        <v>351</v>
      </c>
      <c r="L11">
        <f t="shared" si="0"/>
        <v>421.2</v>
      </c>
      <c r="M11" s="9">
        <v>32</v>
      </c>
      <c r="N11" s="3">
        <f t="shared" si="1"/>
        <v>13478.4</v>
      </c>
    </row>
    <row r="12" spans="1:14" x14ac:dyDescent="0.3">
      <c r="J12" t="s">
        <v>21</v>
      </c>
      <c r="K12">
        <v>351</v>
      </c>
      <c r="L12">
        <f t="shared" si="0"/>
        <v>421.2</v>
      </c>
      <c r="M12">
        <v>14</v>
      </c>
      <c r="N12" s="3">
        <f t="shared" si="1"/>
        <v>5896.8</v>
      </c>
    </row>
    <row r="13" spans="1:14" x14ac:dyDescent="0.3">
      <c r="J13" t="s">
        <v>22</v>
      </c>
      <c r="K13">
        <v>351</v>
      </c>
      <c r="L13">
        <f t="shared" si="0"/>
        <v>421.2</v>
      </c>
      <c r="M13">
        <v>6</v>
      </c>
      <c r="N13" s="3">
        <f t="shared" si="1"/>
        <v>2527.1999999999998</v>
      </c>
    </row>
    <row r="14" spans="1:14" x14ac:dyDescent="0.3">
      <c r="J14" t="s">
        <v>23</v>
      </c>
      <c r="K14">
        <v>428</v>
      </c>
      <c r="L14">
        <f t="shared" si="0"/>
        <v>513.6</v>
      </c>
      <c r="M14" s="9">
        <v>50</v>
      </c>
      <c r="N14" s="3">
        <f t="shared" si="1"/>
        <v>25680</v>
      </c>
    </row>
    <row r="15" spans="1:14" x14ac:dyDescent="0.3">
      <c r="J15" t="s">
        <v>24</v>
      </c>
      <c r="K15">
        <v>741</v>
      </c>
      <c r="L15">
        <f t="shared" si="0"/>
        <v>889.19999999999993</v>
      </c>
      <c r="M15">
        <v>4</v>
      </c>
      <c r="N15" s="3">
        <f t="shared" si="1"/>
        <v>3556.7999999999997</v>
      </c>
    </row>
    <row r="16" spans="1:14" x14ac:dyDescent="0.3">
      <c r="M16">
        <f>SUM(M2:M15)</f>
        <v>755</v>
      </c>
      <c r="N16" s="3"/>
    </row>
    <row r="17" spans="10:14" x14ac:dyDescent="0.3">
      <c r="N17" s="3"/>
    </row>
    <row r="18" spans="10:14" x14ac:dyDescent="0.3">
      <c r="M18" s="7" t="s">
        <v>31</v>
      </c>
      <c r="N18" s="8">
        <f>SUM(N2:N15)</f>
        <v>337160.4</v>
      </c>
    </row>
    <row r="19" spans="10:14" x14ac:dyDescent="0.3">
      <c r="M19" s="7" t="s">
        <v>32</v>
      </c>
      <c r="N19" s="8">
        <f>SUM(N18/10)</f>
        <v>33716.04</v>
      </c>
    </row>
    <row r="20" spans="10:14" x14ac:dyDescent="0.3">
      <c r="M20" s="9" t="s">
        <v>46</v>
      </c>
      <c r="N20" s="10"/>
    </row>
    <row r="21" spans="10:14" x14ac:dyDescent="0.3">
      <c r="N21" s="3"/>
    </row>
    <row r="22" spans="10:14" x14ac:dyDescent="0.3">
      <c r="N22" s="3"/>
    </row>
    <row r="23" spans="10:14" x14ac:dyDescent="0.3">
      <c r="J23" t="s">
        <v>7</v>
      </c>
      <c r="N23" s="5">
        <f>+N2+N6</f>
        <v>144050.4</v>
      </c>
    </row>
    <row r="24" spans="10:14" x14ac:dyDescent="0.3">
      <c r="J24" t="s">
        <v>8</v>
      </c>
      <c r="N24" s="5">
        <f>+N4+N5+N7</f>
        <v>98982</v>
      </c>
    </row>
    <row r="25" spans="10:14" x14ac:dyDescent="0.3">
      <c r="J25" t="s">
        <v>9</v>
      </c>
      <c r="N25" s="5">
        <f>+N8+N9+N10</f>
        <v>42988.800000000003</v>
      </c>
    </row>
    <row r="26" spans="10:14" x14ac:dyDescent="0.3">
      <c r="J26" t="s">
        <v>10</v>
      </c>
      <c r="N26" s="5">
        <f>+N13+N14+N15+N11+N12</f>
        <v>51139.200000000004</v>
      </c>
    </row>
    <row r="27" spans="10:14" x14ac:dyDescent="0.3">
      <c r="J27" t="s">
        <v>6</v>
      </c>
      <c r="N27" s="6">
        <f>SUM(N23:N26)</f>
        <v>337160.4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Gennemsnitmodellen</vt:lpstr>
      <vt:lpstr>Gennemsnitsmodellen m basisa.</vt:lpstr>
      <vt:lpstr>Model m forældreforløb</vt:lpstr>
      <vt:lpstr>Kommune A</vt:lpstr>
      <vt:lpstr>Kommune B</vt:lpstr>
      <vt:lpstr>Følsomhedsanalyse 1</vt:lpstr>
      <vt:lpstr>Følsomhedsanalyse 2</vt:lpstr>
      <vt:lpstr>Følsomhedsanalyse 3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Nichlas Permin Berger</dc:creator>
  <cp:lastModifiedBy>Esben Bjørn Christensen</cp:lastModifiedBy>
  <dcterms:created xsi:type="dcterms:W3CDTF">2022-10-09T09:58:27Z</dcterms:created>
  <dcterms:modified xsi:type="dcterms:W3CDTF">2023-07-03T11:17:17Z</dcterms:modified>
</cp:coreProperties>
</file>